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livsvdc1\public\OLIVIUS\OPST\40. výzva - obnova území - UK\Osek_2. podání+DPH\VŘ\Panský dům - střecha - opakování\ZD\"/>
    </mc:Choice>
  </mc:AlternateContent>
  <bookViews>
    <workbookView xWindow="0" yWindow="0" windowWidth="25600" windowHeight="9667" activeTab="1"/>
  </bookViews>
  <sheets>
    <sheet name="Krycí list rozpočtu" sheetId="2" r:id="rId1"/>
    <sheet name="Stavební rozpočet" sheetId="1" r:id="rId2"/>
    <sheet name="VORN" sheetId="3" r:id="rId3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I35" i="3" l="1"/>
  <c r="I36" i="3" s="1"/>
  <c r="I26" i="3"/>
  <c r="I25" i="3"/>
  <c r="I18" i="2" s="1"/>
  <c r="I24" i="3"/>
  <c r="I17" i="2" s="1"/>
  <c r="I23" i="3"/>
  <c r="I16" i="2" s="1"/>
  <c r="I22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24" i="2"/>
  <c r="I19" i="2"/>
  <c r="I15" i="2"/>
  <c r="I10" i="2"/>
  <c r="F10" i="2"/>
  <c r="C10" i="2"/>
  <c r="F8" i="2"/>
  <c r="C8" i="2"/>
  <c r="F6" i="2"/>
  <c r="C6" i="2"/>
  <c r="F4" i="2"/>
  <c r="C4" i="2"/>
  <c r="F2" i="2"/>
  <c r="C2" i="2"/>
  <c r="BW634" i="1"/>
  <c r="BJ634" i="1"/>
  <c r="BF634" i="1"/>
  <c r="BD634" i="1"/>
  <c r="AP634" i="1"/>
  <c r="BI634" i="1" s="1"/>
  <c r="AO634" i="1"/>
  <c r="BH634" i="1" s="1"/>
  <c r="AK634" i="1"/>
  <c r="AJ634" i="1"/>
  <c r="AH634" i="1"/>
  <c r="AG634" i="1"/>
  <c r="AF634" i="1"/>
  <c r="AE634" i="1"/>
  <c r="AD634" i="1"/>
  <c r="AC634" i="1"/>
  <c r="AB634" i="1"/>
  <c r="Z634" i="1"/>
  <c r="O634" i="1"/>
  <c r="M634" i="1"/>
  <c r="L634" i="1"/>
  <c r="AL634" i="1" s="1"/>
  <c r="BW633" i="1"/>
  <c r="BJ633" i="1"/>
  <c r="Z633" i="1" s="1"/>
  <c r="BD633" i="1"/>
  <c r="AP633" i="1"/>
  <c r="K633" i="1" s="1"/>
  <c r="AO633" i="1"/>
  <c r="J633" i="1" s="1"/>
  <c r="AL633" i="1"/>
  <c r="AK633" i="1"/>
  <c r="AJ633" i="1"/>
  <c r="AH633" i="1"/>
  <c r="AG633" i="1"/>
  <c r="AF633" i="1"/>
  <c r="AE633" i="1"/>
  <c r="AD633" i="1"/>
  <c r="AC633" i="1"/>
  <c r="AB633" i="1"/>
  <c r="O633" i="1"/>
  <c r="BF633" i="1" s="1"/>
  <c r="L633" i="1"/>
  <c r="M633" i="1" s="1"/>
  <c r="BW631" i="1"/>
  <c r="BJ631" i="1"/>
  <c r="Z631" i="1" s="1"/>
  <c r="BF631" i="1"/>
  <c r="BD631" i="1"/>
  <c r="AP631" i="1"/>
  <c r="AO631" i="1"/>
  <c r="AL631" i="1"/>
  <c r="AK631" i="1"/>
  <c r="AJ631" i="1"/>
  <c r="AH631" i="1"/>
  <c r="AG631" i="1"/>
  <c r="AF631" i="1"/>
  <c r="AE631" i="1"/>
  <c r="AD631" i="1"/>
  <c r="AC631" i="1"/>
  <c r="AB631" i="1"/>
  <c r="O631" i="1"/>
  <c r="L631" i="1"/>
  <c r="M631" i="1" s="1"/>
  <c r="BW629" i="1"/>
  <c r="BJ629" i="1"/>
  <c r="BF629" i="1"/>
  <c r="BD629" i="1"/>
  <c r="AP629" i="1"/>
  <c r="BI629" i="1" s="1"/>
  <c r="AO629" i="1"/>
  <c r="AW629" i="1" s="1"/>
  <c r="AK629" i="1"/>
  <c r="AJ629" i="1"/>
  <c r="AH629" i="1"/>
  <c r="AG629" i="1"/>
  <c r="AF629" i="1"/>
  <c r="AE629" i="1"/>
  <c r="AD629" i="1"/>
  <c r="AC629" i="1"/>
  <c r="AB629" i="1"/>
  <c r="Z629" i="1"/>
  <c r="O629" i="1"/>
  <c r="L629" i="1"/>
  <c r="AL629" i="1" s="1"/>
  <c r="BW627" i="1"/>
  <c r="BJ627" i="1"/>
  <c r="Z627" i="1" s="1"/>
  <c r="BD627" i="1"/>
  <c r="AP627" i="1"/>
  <c r="BI627" i="1" s="1"/>
  <c r="AO627" i="1"/>
  <c r="BH627" i="1" s="1"/>
  <c r="AL627" i="1"/>
  <c r="AK627" i="1"/>
  <c r="AJ627" i="1"/>
  <c r="AH627" i="1"/>
  <c r="AG627" i="1"/>
  <c r="AF627" i="1"/>
  <c r="AE627" i="1"/>
  <c r="AD627" i="1"/>
  <c r="AC627" i="1"/>
  <c r="AB627" i="1"/>
  <c r="O627" i="1"/>
  <c r="BF627" i="1" s="1"/>
  <c r="L627" i="1"/>
  <c r="M627" i="1" s="1"/>
  <c r="BW625" i="1"/>
  <c r="BJ625" i="1"/>
  <c r="BF625" i="1"/>
  <c r="BD625" i="1"/>
  <c r="AP625" i="1"/>
  <c r="BI625" i="1" s="1"/>
  <c r="AO625" i="1"/>
  <c r="BH625" i="1" s="1"/>
  <c r="AK625" i="1"/>
  <c r="AJ625" i="1"/>
  <c r="AH625" i="1"/>
  <c r="AG625" i="1"/>
  <c r="AF625" i="1"/>
  <c r="AE625" i="1"/>
  <c r="AD625" i="1"/>
  <c r="AC625" i="1"/>
  <c r="AB625" i="1"/>
  <c r="Z625" i="1"/>
  <c r="O625" i="1"/>
  <c r="L625" i="1"/>
  <c r="AL625" i="1" s="1"/>
  <c r="BW618" i="1"/>
  <c r="BJ618" i="1"/>
  <c r="Z618" i="1" s="1"/>
  <c r="BD618" i="1"/>
  <c r="AX618" i="1"/>
  <c r="AP618" i="1"/>
  <c r="K618" i="1" s="1"/>
  <c r="AO618" i="1"/>
  <c r="J618" i="1" s="1"/>
  <c r="AL618" i="1"/>
  <c r="AK618" i="1"/>
  <c r="AJ618" i="1"/>
  <c r="AH618" i="1"/>
  <c r="AG618" i="1"/>
  <c r="AF618" i="1"/>
  <c r="AE618" i="1"/>
  <c r="AD618" i="1"/>
  <c r="AC618" i="1"/>
  <c r="AB618" i="1"/>
  <c r="O618" i="1"/>
  <c r="BF618" i="1" s="1"/>
  <c r="L618" i="1"/>
  <c r="M618" i="1" s="1"/>
  <c r="BW617" i="1"/>
  <c r="BJ617" i="1"/>
  <c r="Z617" i="1" s="1"/>
  <c r="BF617" i="1"/>
  <c r="BD617" i="1"/>
  <c r="AW617" i="1"/>
  <c r="AP617" i="1"/>
  <c r="AO617" i="1"/>
  <c r="AK617" i="1"/>
  <c r="AJ617" i="1"/>
  <c r="AH617" i="1"/>
  <c r="AG617" i="1"/>
  <c r="AF617" i="1"/>
  <c r="AE617" i="1"/>
  <c r="AD617" i="1"/>
  <c r="AC617" i="1"/>
  <c r="AB617" i="1"/>
  <c r="O617" i="1"/>
  <c r="L617" i="1"/>
  <c r="M617" i="1" s="1"/>
  <c r="L616" i="1"/>
  <c r="BW615" i="1"/>
  <c r="BJ615" i="1"/>
  <c r="BD615" i="1"/>
  <c r="AP615" i="1"/>
  <c r="BI615" i="1" s="1"/>
  <c r="AO615" i="1"/>
  <c r="BH615" i="1" s="1"/>
  <c r="AF615" i="1" s="1"/>
  <c r="AL615" i="1"/>
  <c r="AK615" i="1"/>
  <c r="AJ615" i="1"/>
  <c r="AH615" i="1"/>
  <c r="AG615" i="1"/>
  <c r="AE615" i="1"/>
  <c r="AD615" i="1"/>
  <c r="AC615" i="1"/>
  <c r="AB615" i="1"/>
  <c r="Z615" i="1"/>
  <c r="O615" i="1"/>
  <c r="BF615" i="1" s="1"/>
  <c r="L615" i="1"/>
  <c r="M615" i="1" s="1"/>
  <c r="BW614" i="1"/>
  <c r="BJ614" i="1"/>
  <c r="BF614" i="1"/>
  <c r="BD614" i="1"/>
  <c r="AP614" i="1"/>
  <c r="BI614" i="1" s="1"/>
  <c r="AG614" i="1" s="1"/>
  <c r="AO614" i="1"/>
  <c r="BH614" i="1" s="1"/>
  <c r="AF614" i="1" s="1"/>
  <c r="AK614" i="1"/>
  <c r="AJ614" i="1"/>
  <c r="AH614" i="1"/>
  <c r="AE614" i="1"/>
  <c r="AD614" i="1"/>
  <c r="AC614" i="1"/>
  <c r="AB614" i="1"/>
  <c r="Z614" i="1"/>
  <c r="O614" i="1"/>
  <c r="M614" i="1"/>
  <c r="L614" i="1"/>
  <c r="AL614" i="1" s="1"/>
  <c r="BW613" i="1"/>
  <c r="BJ613" i="1"/>
  <c r="BI613" i="1"/>
  <c r="BH613" i="1"/>
  <c r="AF613" i="1" s="1"/>
  <c r="BD613" i="1"/>
  <c r="AP613" i="1"/>
  <c r="K613" i="1" s="1"/>
  <c r="AO613" i="1"/>
  <c r="J613" i="1" s="1"/>
  <c r="AL613" i="1"/>
  <c r="AK613" i="1"/>
  <c r="AJ613" i="1"/>
  <c r="AH613" i="1"/>
  <c r="AG613" i="1"/>
  <c r="AE613" i="1"/>
  <c r="AD613" i="1"/>
  <c r="AC613" i="1"/>
  <c r="AB613" i="1"/>
  <c r="Z613" i="1"/>
  <c r="O613" i="1"/>
  <c r="BF613" i="1" s="1"/>
  <c r="L613" i="1"/>
  <c r="M613" i="1" s="1"/>
  <c r="BW612" i="1"/>
  <c r="BJ612" i="1"/>
  <c r="BF612" i="1"/>
  <c r="BD612" i="1"/>
  <c r="AP612" i="1"/>
  <c r="AO612" i="1"/>
  <c r="AL612" i="1"/>
  <c r="AK612" i="1"/>
  <c r="AJ612" i="1"/>
  <c r="AH612" i="1"/>
  <c r="AE612" i="1"/>
  <c r="AD612" i="1"/>
  <c r="AC612" i="1"/>
  <c r="AB612" i="1"/>
  <c r="Z612" i="1"/>
  <c r="O612" i="1"/>
  <c r="L612" i="1"/>
  <c r="M612" i="1" s="1"/>
  <c r="BW610" i="1"/>
  <c r="M610" i="1" s="1"/>
  <c r="BJ610" i="1"/>
  <c r="BH610" i="1"/>
  <c r="AF610" i="1" s="1"/>
  <c r="BD610" i="1"/>
  <c r="AX610" i="1"/>
  <c r="AW610" i="1"/>
  <c r="AP610" i="1"/>
  <c r="K610" i="1" s="1"/>
  <c r="AO610" i="1"/>
  <c r="AK610" i="1"/>
  <c r="AJ610" i="1"/>
  <c r="AH610" i="1"/>
  <c r="AE610" i="1"/>
  <c r="AD610" i="1"/>
  <c r="AC610" i="1"/>
  <c r="AB610" i="1"/>
  <c r="Z610" i="1"/>
  <c r="O610" i="1"/>
  <c r="L610" i="1"/>
  <c r="AL610" i="1" s="1"/>
  <c r="J610" i="1"/>
  <c r="BW609" i="1"/>
  <c r="BJ609" i="1"/>
  <c r="BD609" i="1"/>
  <c r="AP609" i="1"/>
  <c r="BI609" i="1" s="1"/>
  <c r="AG609" i="1" s="1"/>
  <c r="AO609" i="1"/>
  <c r="BH609" i="1" s="1"/>
  <c r="AF609" i="1" s="1"/>
  <c r="AL609" i="1"/>
  <c r="AK609" i="1"/>
  <c r="AJ609" i="1"/>
  <c r="AH609" i="1"/>
  <c r="AE609" i="1"/>
  <c r="AD609" i="1"/>
  <c r="AC609" i="1"/>
  <c r="AB609" i="1"/>
  <c r="Z609" i="1"/>
  <c r="O609" i="1"/>
  <c r="BF609" i="1" s="1"/>
  <c r="L609" i="1"/>
  <c r="M609" i="1" s="1"/>
  <c r="BW607" i="1"/>
  <c r="BJ607" i="1"/>
  <c r="BF607" i="1"/>
  <c r="BD607" i="1"/>
  <c r="AP607" i="1"/>
  <c r="BI607" i="1" s="1"/>
  <c r="AG607" i="1" s="1"/>
  <c r="AO607" i="1"/>
  <c r="BH607" i="1" s="1"/>
  <c r="AF607" i="1" s="1"/>
  <c r="AK607" i="1"/>
  <c r="AJ607" i="1"/>
  <c r="AH607" i="1"/>
  <c r="AE607" i="1"/>
  <c r="AD607" i="1"/>
  <c r="AC607" i="1"/>
  <c r="AB607" i="1"/>
  <c r="Z607" i="1"/>
  <c r="O607" i="1"/>
  <c r="L607" i="1"/>
  <c r="AL607" i="1" s="1"/>
  <c r="BW605" i="1"/>
  <c r="BJ605" i="1"/>
  <c r="BD605" i="1"/>
  <c r="AP605" i="1"/>
  <c r="K605" i="1" s="1"/>
  <c r="AO605" i="1"/>
  <c r="J605" i="1" s="1"/>
  <c r="AK605" i="1"/>
  <c r="AJ605" i="1"/>
  <c r="AH605" i="1"/>
  <c r="AE605" i="1"/>
  <c r="AD605" i="1"/>
  <c r="AC605" i="1"/>
  <c r="AB605" i="1"/>
  <c r="Z605" i="1"/>
  <c r="O605" i="1"/>
  <c r="BF605" i="1" s="1"/>
  <c r="L605" i="1"/>
  <c r="AL605" i="1" s="1"/>
  <c r="BW603" i="1"/>
  <c r="BJ603" i="1"/>
  <c r="BF603" i="1"/>
  <c r="BD603" i="1"/>
  <c r="AP603" i="1"/>
  <c r="AO603" i="1"/>
  <c r="AK603" i="1"/>
  <c r="AT602" i="1" s="1"/>
  <c r="AJ603" i="1"/>
  <c r="AH603" i="1"/>
  <c r="AE603" i="1"/>
  <c r="AD603" i="1"/>
  <c r="AC603" i="1"/>
  <c r="AB603" i="1"/>
  <c r="Z603" i="1"/>
  <c r="O603" i="1"/>
  <c r="L603" i="1"/>
  <c r="M603" i="1" s="1"/>
  <c r="BW600" i="1"/>
  <c r="BJ600" i="1"/>
  <c r="BF600" i="1"/>
  <c r="BD600" i="1"/>
  <c r="AP600" i="1"/>
  <c r="BI600" i="1" s="1"/>
  <c r="AO600" i="1"/>
  <c r="BH600" i="1" s="1"/>
  <c r="AF600" i="1" s="1"/>
  <c r="AL600" i="1"/>
  <c r="AK600" i="1"/>
  <c r="AJ600" i="1"/>
  <c r="AH600" i="1"/>
  <c r="AG600" i="1"/>
  <c r="AE600" i="1"/>
  <c r="AD600" i="1"/>
  <c r="AC600" i="1"/>
  <c r="AB600" i="1"/>
  <c r="Z600" i="1"/>
  <c r="O600" i="1"/>
  <c r="L600" i="1"/>
  <c r="M600" i="1" s="1"/>
  <c r="BW598" i="1"/>
  <c r="BJ598" i="1"/>
  <c r="BF598" i="1"/>
  <c r="BD598" i="1"/>
  <c r="AP598" i="1"/>
  <c r="BI598" i="1" s="1"/>
  <c r="AG598" i="1" s="1"/>
  <c r="AO598" i="1"/>
  <c r="AK598" i="1"/>
  <c r="AJ598" i="1"/>
  <c r="AH598" i="1"/>
  <c r="AE598" i="1"/>
  <c r="AD598" i="1"/>
  <c r="AC598" i="1"/>
  <c r="AB598" i="1"/>
  <c r="Z598" i="1"/>
  <c r="O598" i="1"/>
  <c r="L598" i="1"/>
  <c r="AL598" i="1" s="1"/>
  <c r="BW597" i="1"/>
  <c r="BJ597" i="1"/>
  <c r="BI597" i="1"/>
  <c r="AG597" i="1" s="1"/>
  <c r="BH597" i="1"/>
  <c r="AF597" i="1" s="1"/>
  <c r="BD597" i="1"/>
  <c r="AX597" i="1"/>
  <c r="AW597" i="1"/>
  <c r="BC597" i="1" s="1"/>
  <c r="AP597" i="1"/>
  <c r="K597" i="1" s="1"/>
  <c r="AO597" i="1"/>
  <c r="J597" i="1" s="1"/>
  <c r="AK597" i="1"/>
  <c r="AJ597" i="1"/>
  <c r="AH597" i="1"/>
  <c r="AE597" i="1"/>
  <c r="AD597" i="1"/>
  <c r="AC597" i="1"/>
  <c r="AB597" i="1"/>
  <c r="Z597" i="1"/>
  <c r="O597" i="1"/>
  <c r="BF597" i="1" s="1"/>
  <c r="L597" i="1"/>
  <c r="BW595" i="1"/>
  <c r="BJ595" i="1"/>
  <c r="BF595" i="1"/>
  <c r="BD595" i="1"/>
  <c r="AP595" i="1"/>
  <c r="AO595" i="1"/>
  <c r="AL595" i="1"/>
  <c r="AK595" i="1"/>
  <c r="AJ595" i="1"/>
  <c r="AH595" i="1"/>
  <c r="AE595" i="1"/>
  <c r="AD595" i="1"/>
  <c r="AC595" i="1"/>
  <c r="AB595" i="1"/>
  <c r="Z595" i="1"/>
  <c r="O595" i="1"/>
  <c r="L595" i="1"/>
  <c r="M595" i="1" s="1"/>
  <c r="BW593" i="1"/>
  <c r="BJ593" i="1"/>
  <c r="BF593" i="1"/>
  <c r="BD593" i="1"/>
  <c r="AX593" i="1"/>
  <c r="AP593" i="1"/>
  <c r="BI593" i="1" s="1"/>
  <c r="AG593" i="1" s="1"/>
  <c r="AO593" i="1"/>
  <c r="J593" i="1" s="1"/>
  <c r="AK593" i="1"/>
  <c r="AJ593" i="1"/>
  <c r="AH593" i="1"/>
  <c r="AE593" i="1"/>
  <c r="AD593" i="1"/>
  <c r="AC593" i="1"/>
  <c r="AB593" i="1"/>
  <c r="Z593" i="1"/>
  <c r="O593" i="1"/>
  <c r="M593" i="1"/>
  <c r="L593" i="1"/>
  <c r="AL593" i="1" s="1"/>
  <c r="K593" i="1"/>
  <c r="BW591" i="1"/>
  <c r="BJ591" i="1"/>
  <c r="BF591" i="1"/>
  <c r="BD591" i="1"/>
  <c r="AP591" i="1"/>
  <c r="BI591" i="1" s="1"/>
  <c r="AG591" i="1" s="1"/>
  <c r="AO591" i="1"/>
  <c r="BH591" i="1" s="1"/>
  <c r="AF591" i="1" s="1"/>
  <c r="AL591" i="1"/>
  <c r="AK591" i="1"/>
  <c r="AJ591" i="1"/>
  <c r="AH591" i="1"/>
  <c r="AE591" i="1"/>
  <c r="AD591" i="1"/>
  <c r="AC591" i="1"/>
  <c r="AB591" i="1"/>
  <c r="Z591" i="1"/>
  <c r="O591" i="1"/>
  <c r="M591" i="1"/>
  <c r="L591" i="1"/>
  <c r="BW590" i="1"/>
  <c r="BJ590" i="1"/>
  <c r="BF590" i="1"/>
  <c r="BD590" i="1"/>
  <c r="AP590" i="1"/>
  <c r="BI590" i="1" s="1"/>
  <c r="AC590" i="1" s="1"/>
  <c r="AO590" i="1"/>
  <c r="BH590" i="1" s="1"/>
  <c r="AB590" i="1" s="1"/>
  <c r="AK590" i="1"/>
  <c r="AJ590" i="1"/>
  <c r="AH590" i="1"/>
  <c r="AG590" i="1"/>
  <c r="AF590" i="1"/>
  <c r="AE590" i="1"/>
  <c r="AD590" i="1"/>
  <c r="Z590" i="1"/>
  <c r="O590" i="1"/>
  <c r="M590" i="1"/>
  <c r="L590" i="1"/>
  <c r="AL590" i="1" s="1"/>
  <c r="K590" i="1"/>
  <c r="J590" i="1"/>
  <c r="BW589" i="1"/>
  <c r="BJ589" i="1"/>
  <c r="BD589" i="1"/>
  <c r="AX589" i="1"/>
  <c r="AP589" i="1"/>
  <c r="K589" i="1" s="1"/>
  <c r="AO589" i="1"/>
  <c r="J589" i="1" s="1"/>
  <c r="AK589" i="1"/>
  <c r="AJ589" i="1"/>
  <c r="AH589" i="1"/>
  <c r="AG589" i="1"/>
  <c r="AF589" i="1"/>
  <c r="AE589" i="1"/>
  <c r="AD589" i="1"/>
  <c r="Z589" i="1"/>
  <c r="O589" i="1"/>
  <c r="BF589" i="1" s="1"/>
  <c r="L589" i="1"/>
  <c r="M589" i="1" s="1"/>
  <c r="BW587" i="1"/>
  <c r="BJ587" i="1"/>
  <c r="BF587" i="1"/>
  <c r="BD587" i="1"/>
  <c r="AP587" i="1"/>
  <c r="AO587" i="1"/>
  <c r="AK587" i="1"/>
  <c r="AJ587" i="1"/>
  <c r="AH587" i="1"/>
  <c r="AE587" i="1"/>
  <c r="AD587" i="1"/>
  <c r="AC587" i="1"/>
  <c r="AB587" i="1"/>
  <c r="Z587" i="1"/>
  <c r="O587" i="1"/>
  <c r="L587" i="1"/>
  <c r="M587" i="1" s="1"/>
  <c r="BW586" i="1"/>
  <c r="BJ586" i="1"/>
  <c r="BI586" i="1"/>
  <c r="AC586" i="1" s="1"/>
  <c r="BD586" i="1"/>
  <c r="AP586" i="1"/>
  <c r="AX586" i="1" s="1"/>
  <c r="AO586" i="1"/>
  <c r="J586" i="1" s="1"/>
  <c r="AK586" i="1"/>
  <c r="AJ586" i="1"/>
  <c r="AH586" i="1"/>
  <c r="AG586" i="1"/>
  <c r="AF586" i="1"/>
  <c r="AE586" i="1"/>
  <c r="AD586" i="1"/>
  <c r="Z586" i="1"/>
  <c r="O586" i="1"/>
  <c r="BF586" i="1" s="1"/>
  <c r="L586" i="1"/>
  <c r="K586" i="1"/>
  <c r="BW584" i="1"/>
  <c r="BJ584" i="1"/>
  <c r="BF584" i="1"/>
  <c r="BD584" i="1"/>
  <c r="AP584" i="1"/>
  <c r="BI584" i="1" s="1"/>
  <c r="AO584" i="1"/>
  <c r="BH584" i="1" s="1"/>
  <c r="AL584" i="1"/>
  <c r="AK584" i="1"/>
  <c r="AJ584" i="1"/>
  <c r="AH584" i="1"/>
  <c r="AG584" i="1"/>
  <c r="AF584" i="1"/>
  <c r="AE584" i="1"/>
  <c r="AD584" i="1"/>
  <c r="AC584" i="1"/>
  <c r="AB584" i="1"/>
  <c r="Z584" i="1"/>
  <c r="O584" i="1"/>
  <c r="M584" i="1"/>
  <c r="L584" i="1"/>
  <c r="BW582" i="1"/>
  <c r="BJ582" i="1"/>
  <c r="BF582" i="1"/>
  <c r="BD582" i="1"/>
  <c r="AP582" i="1"/>
  <c r="BI582" i="1" s="1"/>
  <c r="AG582" i="1" s="1"/>
  <c r="AO582" i="1"/>
  <c r="BH582" i="1" s="1"/>
  <c r="AF582" i="1" s="1"/>
  <c r="AK582" i="1"/>
  <c r="AJ582" i="1"/>
  <c r="AH582" i="1"/>
  <c r="AE582" i="1"/>
  <c r="AD582" i="1"/>
  <c r="AC582" i="1"/>
  <c r="AB582" i="1"/>
  <c r="Z582" i="1"/>
  <c r="O582" i="1"/>
  <c r="M582" i="1"/>
  <c r="L582" i="1"/>
  <c r="AL582" i="1" s="1"/>
  <c r="BW580" i="1"/>
  <c r="BJ580" i="1"/>
  <c r="BI580" i="1"/>
  <c r="AG580" i="1" s="1"/>
  <c r="BH580" i="1"/>
  <c r="AF580" i="1" s="1"/>
  <c r="BD580" i="1"/>
  <c r="AX580" i="1"/>
  <c r="AP580" i="1"/>
  <c r="AO580" i="1"/>
  <c r="J580" i="1" s="1"/>
  <c r="AK580" i="1"/>
  <c r="AJ580" i="1"/>
  <c r="AH580" i="1"/>
  <c r="AE580" i="1"/>
  <c r="AD580" i="1"/>
  <c r="AC580" i="1"/>
  <c r="AB580" i="1"/>
  <c r="Z580" i="1"/>
  <c r="O580" i="1"/>
  <c r="BF580" i="1" s="1"/>
  <c r="L580" i="1"/>
  <c r="K580" i="1"/>
  <c r="BW578" i="1"/>
  <c r="BJ578" i="1"/>
  <c r="BF578" i="1"/>
  <c r="BD578" i="1"/>
  <c r="AW578" i="1"/>
  <c r="AP578" i="1"/>
  <c r="AO578" i="1"/>
  <c r="AK578" i="1"/>
  <c r="AJ578" i="1"/>
  <c r="AH578" i="1"/>
  <c r="AE578" i="1"/>
  <c r="AD578" i="1"/>
  <c r="AC578" i="1"/>
  <c r="AB578" i="1"/>
  <c r="Z578" i="1"/>
  <c r="O578" i="1"/>
  <c r="L578" i="1"/>
  <c r="M578" i="1" s="1"/>
  <c r="BW576" i="1"/>
  <c r="BJ576" i="1"/>
  <c r="BI576" i="1"/>
  <c r="AG576" i="1" s="1"/>
  <c r="BF576" i="1"/>
  <c r="BD576" i="1"/>
  <c r="AP576" i="1"/>
  <c r="AX576" i="1" s="1"/>
  <c r="AO576" i="1"/>
  <c r="BH576" i="1" s="1"/>
  <c r="AF576" i="1" s="1"/>
  <c r="AK576" i="1"/>
  <c r="AJ576" i="1"/>
  <c r="AH576" i="1"/>
  <c r="AE576" i="1"/>
  <c r="AD576" i="1"/>
  <c r="AC576" i="1"/>
  <c r="AB576" i="1"/>
  <c r="Z576" i="1"/>
  <c r="O576" i="1"/>
  <c r="L576" i="1"/>
  <c r="AL576" i="1" s="1"/>
  <c r="K576" i="1"/>
  <c r="J576" i="1"/>
  <c r="BW574" i="1"/>
  <c r="BJ574" i="1"/>
  <c r="BF574" i="1"/>
  <c r="BD574" i="1"/>
  <c r="AP574" i="1"/>
  <c r="BI574" i="1" s="1"/>
  <c r="AO574" i="1"/>
  <c r="BH574" i="1" s="1"/>
  <c r="AK574" i="1"/>
  <c r="AJ574" i="1"/>
  <c r="AH574" i="1"/>
  <c r="AG574" i="1"/>
  <c r="AF574" i="1"/>
  <c r="AE574" i="1"/>
  <c r="AD574" i="1"/>
  <c r="AC574" i="1"/>
  <c r="AB574" i="1"/>
  <c r="Z574" i="1"/>
  <c r="O574" i="1"/>
  <c r="L574" i="1"/>
  <c r="M574" i="1" s="1"/>
  <c r="BW573" i="1"/>
  <c r="BJ573" i="1"/>
  <c r="BF573" i="1"/>
  <c r="BD573" i="1"/>
  <c r="AP573" i="1"/>
  <c r="BI573" i="1" s="1"/>
  <c r="AG573" i="1" s="1"/>
  <c r="AO573" i="1"/>
  <c r="BH573" i="1" s="1"/>
  <c r="AF573" i="1" s="1"/>
  <c r="AK573" i="1"/>
  <c r="AJ573" i="1"/>
  <c r="AH573" i="1"/>
  <c r="AE573" i="1"/>
  <c r="AD573" i="1"/>
  <c r="AC573" i="1"/>
  <c r="AB573" i="1"/>
  <c r="Z573" i="1"/>
  <c r="O573" i="1"/>
  <c r="M573" i="1"/>
  <c r="L573" i="1"/>
  <c r="AL573" i="1" s="1"/>
  <c r="BW570" i="1"/>
  <c r="BJ570" i="1"/>
  <c r="BI570" i="1"/>
  <c r="AG570" i="1" s="1"/>
  <c r="BH570" i="1"/>
  <c r="AF570" i="1" s="1"/>
  <c r="BD570" i="1"/>
  <c r="AX570" i="1"/>
  <c r="AP570" i="1"/>
  <c r="K570" i="1" s="1"/>
  <c r="AO570" i="1"/>
  <c r="J570" i="1" s="1"/>
  <c r="AK570" i="1"/>
  <c r="AJ570" i="1"/>
  <c r="AH570" i="1"/>
  <c r="AE570" i="1"/>
  <c r="AD570" i="1"/>
  <c r="AC570" i="1"/>
  <c r="AB570" i="1"/>
  <c r="Z570" i="1"/>
  <c r="O570" i="1"/>
  <c r="BF570" i="1" s="1"/>
  <c r="L570" i="1"/>
  <c r="M570" i="1" s="1"/>
  <c r="BW568" i="1"/>
  <c r="BJ568" i="1"/>
  <c r="BD568" i="1"/>
  <c r="AP568" i="1"/>
  <c r="AO568" i="1"/>
  <c r="AK568" i="1"/>
  <c r="AJ568" i="1"/>
  <c r="AH568" i="1"/>
  <c r="AE568" i="1"/>
  <c r="AD568" i="1"/>
  <c r="AC568" i="1"/>
  <c r="AB568" i="1"/>
  <c r="Z568" i="1"/>
  <c r="O568" i="1"/>
  <c r="BF568" i="1" s="1"/>
  <c r="L568" i="1"/>
  <c r="M568" i="1" s="1"/>
  <c r="BW566" i="1"/>
  <c r="BJ566" i="1"/>
  <c r="Z566" i="1" s="1"/>
  <c r="BF566" i="1"/>
  <c r="BD566" i="1"/>
  <c r="AP566" i="1"/>
  <c r="BI566" i="1" s="1"/>
  <c r="AO566" i="1"/>
  <c r="BH566" i="1" s="1"/>
  <c r="AK566" i="1"/>
  <c r="AT565" i="1" s="1"/>
  <c r="AJ566" i="1"/>
  <c r="AS565" i="1" s="1"/>
  <c r="AH566" i="1"/>
  <c r="AG566" i="1"/>
  <c r="AF566" i="1"/>
  <c r="AE566" i="1"/>
  <c r="AD566" i="1"/>
  <c r="AC566" i="1"/>
  <c r="AB566" i="1"/>
  <c r="O566" i="1"/>
  <c r="L566" i="1"/>
  <c r="L565" i="1" s="1"/>
  <c r="O565" i="1"/>
  <c r="BW564" i="1"/>
  <c r="BJ564" i="1"/>
  <c r="BH564" i="1"/>
  <c r="AB564" i="1" s="1"/>
  <c r="BD564" i="1"/>
  <c r="AX564" i="1"/>
  <c r="AW564" i="1"/>
  <c r="AP564" i="1"/>
  <c r="K564" i="1" s="1"/>
  <c r="AO564" i="1"/>
  <c r="J564" i="1" s="1"/>
  <c r="AK564" i="1"/>
  <c r="AJ564" i="1"/>
  <c r="AH564" i="1"/>
  <c r="AG564" i="1"/>
  <c r="AF564" i="1"/>
  <c r="AE564" i="1"/>
  <c r="AD564" i="1"/>
  <c r="Z564" i="1"/>
  <c r="O564" i="1"/>
  <c r="BF564" i="1" s="1"/>
  <c r="L564" i="1"/>
  <c r="M564" i="1" s="1"/>
  <c r="BW562" i="1"/>
  <c r="BJ562" i="1"/>
  <c r="BD562" i="1"/>
  <c r="AP562" i="1"/>
  <c r="AO562" i="1"/>
  <c r="AK562" i="1"/>
  <c r="AJ562" i="1"/>
  <c r="AH562" i="1"/>
  <c r="AG562" i="1"/>
  <c r="AF562" i="1"/>
  <c r="AE562" i="1"/>
  <c r="AD562" i="1"/>
  <c r="Z562" i="1"/>
  <c r="O562" i="1"/>
  <c r="BF562" i="1" s="1"/>
  <c r="L562" i="1"/>
  <c r="M562" i="1" s="1"/>
  <c r="BW560" i="1"/>
  <c r="BJ560" i="1"/>
  <c r="BD560" i="1"/>
  <c r="AP560" i="1"/>
  <c r="K560" i="1" s="1"/>
  <c r="AO560" i="1"/>
  <c r="J560" i="1" s="1"/>
  <c r="AK560" i="1"/>
  <c r="AJ560" i="1"/>
  <c r="AH560" i="1"/>
  <c r="AG560" i="1"/>
  <c r="AF560" i="1"/>
  <c r="AE560" i="1"/>
  <c r="AD560" i="1"/>
  <c r="Z560" i="1"/>
  <c r="O560" i="1"/>
  <c r="L560" i="1"/>
  <c r="AL560" i="1" s="1"/>
  <c r="BW558" i="1"/>
  <c r="BJ558" i="1"/>
  <c r="BF558" i="1"/>
  <c r="BD558" i="1"/>
  <c r="AP558" i="1"/>
  <c r="BI558" i="1" s="1"/>
  <c r="AC558" i="1" s="1"/>
  <c r="AO558" i="1"/>
  <c r="BH558" i="1" s="1"/>
  <c r="AB558" i="1" s="1"/>
  <c r="AL558" i="1"/>
  <c r="AK558" i="1"/>
  <c r="AJ558" i="1"/>
  <c r="AH558" i="1"/>
  <c r="AG558" i="1"/>
  <c r="AF558" i="1"/>
  <c r="AE558" i="1"/>
  <c r="AD558" i="1"/>
  <c r="Z558" i="1"/>
  <c r="O558" i="1"/>
  <c r="M558" i="1"/>
  <c r="L558" i="1"/>
  <c r="BW556" i="1"/>
  <c r="BJ556" i="1"/>
  <c r="BF556" i="1"/>
  <c r="BD556" i="1"/>
  <c r="AP556" i="1"/>
  <c r="BI556" i="1" s="1"/>
  <c r="AC556" i="1" s="1"/>
  <c r="AO556" i="1"/>
  <c r="BH556" i="1" s="1"/>
  <c r="AB556" i="1" s="1"/>
  <c r="AK556" i="1"/>
  <c r="AJ556" i="1"/>
  <c r="AH556" i="1"/>
  <c r="AG556" i="1"/>
  <c r="AF556" i="1"/>
  <c r="AE556" i="1"/>
  <c r="AD556" i="1"/>
  <c r="Z556" i="1"/>
  <c r="O556" i="1"/>
  <c r="M556" i="1"/>
  <c r="L556" i="1"/>
  <c r="AL556" i="1" s="1"/>
  <c r="BW554" i="1"/>
  <c r="BJ554" i="1"/>
  <c r="BI554" i="1"/>
  <c r="AC554" i="1" s="1"/>
  <c r="BD554" i="1"/>
  <c r="AX554" i="1"/>
  <c r="AP554" i="1"/>
  <c r="K554" i="1" s="1"/>
  <c r="AO554" i="1"/>
  <c r="J554" i="1" s="1"/>
  <c r="AK554" i="1"/>
  <c r="AJ554" i="1"/>
  <c r="AH554" i="1"/>
  <c r="AG554" i="1"/>
  <c r="AF554" i="1"/>
  <c r="AE554" i="1"/>
  <c r="AD554" i="1"/>
  <c r="Z554" i="1"/>
  <c r="O554" i="1"/>
  <c r="BF554" i="1" s="1"/>
  <c r="L554" i="1"/>
  <c r="M554" i="1" s="1"/>
  <c r="BW551" i="1"/>
  <c r="BJ551" i="1"/>
  <c r="BD551" i="1"/>
  <c r="AP551" i="1"/>
  <c r="AO551" i="1"/>
  <c r="AW551" i="1" s="1"/>
  <c r="AK551" i="1"/>
  <c r="AJ551" i="1"/>
  <c r="AH551" i="1"/>
  <c r="AG551" i="1"/>
  <c r="AF551" i="1"/>
  <c r="AE551" i="1"/>
  <c r="AD551" i="1"/>
  <c r="Z551" i="1"/>
  <c r="O551" i="1"/>
  <c r="BF551" i="1" s="1"/>
  <c r="L551" i="1"/>
  <c r="M551" i="1" s="1"/>
  <c r="BW549" i="1"/>
  <c r="BJ549" i="1"/>
  <c r="BI549" i="1"/>
  <c r="AC549" i="1" s="1"/>
  <c r="BH549" i="1"/>
  <c r="AB549" i="1" s="1"/>
  <c r="BF549" i="1"/>
  <c r="BD549" i="1"/>
  <c r="AW549" i="1"/>
  <c r="AP549" i="1"/>
  <c r="AX549" i="1" s="1"/>
  <c r="AO549" i="1"/>
  <c r="J549" i="1" s="1"/>
  <c r="AK549" i="1"/>
  <c r="AJ549" i="1"/>
  <c r="AH549" i="1"/>
  <c r="AG549" i="1"/>
  <c r="AF549" i="1"/>
  <c r="AE549" i="1"/>
  <c r="AD549" i="1"/>
  <c r="Z549" i="1"/>
  <c r="O549" i="1"/>
  <c r="L549" i="1"/>
  <c r="AL549" i="1" s="1"/>
  <c r="K549" i="1"/>
  <c r="BW547" i="1"/>
  <c r="BJ547" i="1"/>
  <c r="BF547" i="1"/>
  <c r="BD547" i="1"/>
  <c r="AP547" i="1"/>
  <c r="BI547" i="1" s="1"/>
  <c r="AC547" i="1" s="1"/>
  <c r="AO547" i="1"/>
  <c r="BH547" i="1" s="1"/>
  <c r="AB547" i="1" s="1"/>
  <c r="AK547" i="1"/>
  <c r="AJ547" i="1"/>
  <c r="AH547" i="1"/>
  <c r="AG547" i="1"/>
  <c r="AF547" i="1"/>
  <c r="AE547" i="1"/>
  <c r="AD547" i="1"/>
  <c r="Z547" i="1"/>
  <c r="O547" i="1"/>
  <c r="L547" i="1"/>
  <c r="AL547" i="1" s="1"/>
  <c r="BW544" i="1"/>
  <c r="BJ544" i="1"/>
  <c r="BF544" i="1"/>
  <c r="BD544" i="1"/>
  <c r="AW544" i="1"/>
  <c r="AP544" i="1"/>
  <c r="BI544" i="1" s="1"/>
  <c r="AC544" i="1" s="1"/>
  <c r="AO544" i="1"/>
  <c r="BH544" i="1" s="1"/>
  <c r="AB544" i="1" s="1"/>
  <c r="AK544" i="1"/>
  <c r="AJ544" i="1"/>
  <c r="AH544" i="1"/>
  <c r="AG544" i="1"/>
  <c r="AF544" i="1"/>
  <c r="AE544" i="1"/>
  <c r="AD544" i="1"/>
  <c r="Z544" i="1"/>
  <c r="O544" i="1"/>
  <c r="M544" i="1"/>
  <c r="L544" i="1"/>
  <c r="AL544" i="1" s="1"/>
  <c r="BW542" i="1"/>
  <c r="BJ542" i="1"/>
  <c r="BI542" i="1"/>
  <c r="AC542" i="1" s="1"/>
  <c r="BH542" i="1"/>
  <c r="AB542" i="1" s="1"/>
  <c r="BD542" i="1"/>
  <c r="AX542" i="1"/>
  <c r="AW542" i="1"/>
  <c r="AP542" i="1"/>
  <c r="K542" i="1" s="1"/>
  <c r="AO542" i="1"/>
  <c r="J542" i="1" s="1"/>
  <c r="AK542" i="1"/>
  <c r="AJ542" i="1"/>
  <c r="AH542" i="1"/>
  <c r="AG542" i="1"/>
  <c r="AF542" i="1"/>
  <c r="AE542" i="1"/>
  <c r="AD542" i="1"/>
  <c r="Z542" i="1"/>
  <c r="O542" i="1"/>
  <c r="BF542" i="1" s="1"/>
  <c r="L542" i="1"/>
  <c r="M542" i="1" s="1"/>
  <c r="BW540" i="1"/>
  <c r="BJ540" i="1"/>
  <c r="BD540" i="1"/>
  <c r="AP540" i="1"/>
  <c r="AO540" i="1"/>
  <c r="AL540" i="1"/>
  <c r="AK540" i="1"/>
  <c r="AJ540" i="1"/>
  <c r="AH540" i="1"/>
  <c r="AG540" i="1"/>
  <c r="AF540" i="1"/>
  <c r="AE540" i="1"/>
  <c r="AD540" i="1"/>
  <c r="Z540" i="1"/>
  <c r="O540" i="1"/>
  <c r="BF540" i="1" s="1"/>
  <c r="L540" i="1"/>
  <c r="M540" i="1" s="1"/>
  <c r="BW538" i="1"/>
  <c r="BJ538" i="1"/>
  <c r="BF538" i="1"/>
  <c r="BD538" i="1"/>
  <c r="AP538" i="1"/>
  <c r="K538" i="1" s="1"/>
  <c r="AO538" i="1"/>
  <c r="J538" i="1" s="1"/>
  <c r="AK538" i="1"/>
  <c r="AJ538" i="1"/>
  <c r="AH538" i="1"/>
  <c r="AG538" i="1"/>
  <c r="AF538" i="1"/>
  <c r="AE538" i="1"/>
  <c r="AD538" i="1"/>
  <c r="Z538" i="1"/>
  <c r="O538" i="1"/>
  <c r="M538" i="1"/>
  <c r="L538" i="1"/>
  <c r="AL538" i="1" s="1"/>
  <c r="BW536" i="1"/>
  <c r="BJ536" i="1"/>
  <c r="BF536" i="1"/>
  <c r="BD536" i="1"/>
  <c r="AP536" i="1"/>
  <c r="BI536" i="1" s="1"/>
  <c r="AC536" i="1" s="1"/>
  <c r="AO536" i="1"/>
  <c r="BH536" i="1" s="1"/>
  <c r="AB536" i="1" s="1"/>
  <c r="AL536" i="1"/>
  <c r="AK536" i="1"/>
  <c r="AJ536" i="1"/>
  <c r="AH536" i="1"/>
  <c r="AG536" i="1"/>
  <c r="AF536" i="1"/>
  <c r="AE536" i="1"/>
  <c r="AD536" i="1"/>
  <c r="Z536" i="1"/>
  <c r="O536" i="1"/>
  <c r="M536" i="1"/>
  <c r="L536" i="1"/>
  <c r="BW534" i="1"/>
  <c r="BJ534" i="1"/>
  <c r="BF534" i="1"/>
  <c r="BD534" i="1"/>
  <c r="AW534" i="1"/>
  <c r="AP534" i="1"/>
  <c r="AO534" i="1"/>
  <c r="BH534" i="1" s="1"/>
  <c r="AB534" i="1" s="1"/>
  <c r="AK534" i="1"/>
  <c r="AJ534" i="1"/>
  <c r="AH534" i="1"/>
  <c r="AG534" i="1"/>
  <c r="AF534" i="1"/>
  <c r="AE534" i="1"/>
  <c r="AD534" i="1"/>
  <c r="Z534" i="1"/>
  <c r="O534" i="1"/>
  <c r="L534" i="1"/>
  <c r="AL534" i="1" s="1"/>
  <c r="J534" i="1"/>
  <c r="BW531" i="1"/>
  <c r="BJ531" i="1"/>
  <c r="BD531" i="1"/>
  <c r="AP531" i="1"/>
  <c r="AO531" i="1"/>
  <c r="AL531" i="1"/>
  <c r="AK531" i="1"/>
  <c r="AJ531" i="1"/>
  <c r="AH531" i="1"/>
  <c r="AG531" i="1"/>
  <c r="AF531" i="1"/>
  <c r="AE531" i="1"/>
  <c r="AD531" i="1"/>
  <c r="Z531" i="1"/>
  <c r="O531" i="1"/>
  <c r="BF531" i="1" s="1"/>
  <c r="L531" i="1"/>
  <c r="M531" i="1" s="1"/>
  <c r="BW529" i="1"/>
  <c r="BJ529" i="1"/>
  <c r="BI529" i="1"/>
  <c r="AC529" i="1" s="1"/>
  <c r="BH529" i="1"/>
  <c r="AB529" i="1" s="1"/>
  <c r="BF529" i="1"/>
  <c r="BD529" i="1"/>
  <c r="AP529" i="1"/>
  <c r="AX529" i="1" s="1"/>
  <c r="AO529" i="1"/>
  <c r="J529" i="1" s="1"/>
  <c r="AK529" i="1"/>
  <c r="AJ529" i="1"/>
  <c r="AH529" i="1"/>
  <c r="AG529" i="1"/>
  <c r="AF529" i="1"/>
  <c r="AE529" i="1"/>
  <c r="AD529" i="1"/>
  <c r="Z529" i="1"/>
  <c r="O529" i="1"/>
  <c r="L529" i="1"/>
  <c r="AL529" i="1" s="1"/>
  <c r="K529" i="1"/>
  <c r="BW527" i="1"/>
  <c r="BJ527" i="1"/>
  <c r="BF527" i="1"/>
  <c r="BD527" i="1"/>
  <c r="AP527" i="1"/>
  <c r="BI527" i="1" s="1"/>
  <c r="AC527" i="1" s="1"/>
  <c r="AO527" i="1"/>
  <c r="BH527" i="1" s="1"/>
  <c r="AB527" i="1" s="1"/>
  <c r="AL527" i="1"/>
  <c r="AK527" i="1"/>
  <c r="AJ527" i="1"/>
  <c r="AH527" i="1"/>
  <c r="AG527" i="1"/>
  <c r="AF527" i="1"/>
  <c r="AE527" i="1"/>
  <c r="AD527" i="1"/>
  <c r="Z527" i="1"/>
  <c r="O527" i="1"/>
  <c r="L527" i="1"/>
  <c r="M527" i="1" s="1"/>
  <c r="BW526" i="1"/>
  <c r="BJ526" i="1"/>
  <c r="BF526" i="1"/>
  <c r="BD526" i="1"/>
  <c r="AP526" i="1"/>
  <c r="BI526" i="1" s="1"/>
  <c r="AC526" i="1" s="1"/>
  <c r="AO526" i="1"/>
  <c r="BH526" i="1" s="1"/>
  <c r="AB526" i="1" s="1"/>
  <c r="AK526" i="1"/>
  <c r="AJ526" i="1"/>
  <c r="AH526" i="1"/>
  <c r="AG526" i="1"/>
  <c r="AF526" i="1"/>
  <c r="AE526" i="1"/>
  <c r="AD526" i="1"/>
  <c r="Z526" i="1"/>
  <c r="O526" i="1"/>
  <c r="M526" i="1"/>
  <c r="L526" i="1"/>
  <c r="AL526" i="1" s="1"/>
  <c r="K526" i="1"/>
  <c r="BW525" i="1"/>
  <c r="BJ525" i="1"/>
  <c r="BI525" i="1"/>
  <c r="AC525" i="1" s="1"/>
  <c r="BH525" i="1"/>
  <c r="AB525" i="1" s="1"/>
  <c r="BD525" i="1"/>
  <c r="AX525" i="1"/>
  <c r="AW525" i="1"/>
  <c r="AP525" i="1"/>
  <c r="AO525" i="1"/>
  <c r="J525" i="1" s="1"/>
  <c r="AK525" i="1"/>
  <c r="AJ525" i="1"/>
  <c r="AH525" i="1"/>
  <c r="AG525" i="1"/>
  <c r="AF525" i="1"/>
  <c r="AE525" i="1"/>
  <c r="AD525" i="1"/>
  <c r="Z525" i="1"/>
  <c r="O525" i="1"/>
  <c r="BF525" i="1" s="1"/>
  <c r="L525" i="1"/>
  <c r="AL525" i="1" s="1"/>
  <c r="K525" i="1"/>
  <c r="BW523" i="1"/>
  <c r="BJ523" i="1"/>
  <c r="BD523" i="1"/>
  <c r="AP523" i="1"/>
  <c r="AO523" i="1"/>
  <c r="AK523" i="1"/>
  <c r="AJ523" i="1"/>
  <c r="AH523" i="1"/>
  <c r="AG523" i="1"/>
  <c r="AF523" i="1"/>
  <c r="AE523" i="1"/>
  <c r="AD523" i="1"/>
  <c r="Z523" i="1"/>
  <c r="O523" i="1"/>
  <c r="BF523" i="1" s="1"/>
  <c r="L523" i="1"/>
  <c r="M523" i="1" s="1"/>
  <c r="BW521" i="1"/>
  <c r="BJ521" i="1"/>
  <c r="BH521" i="1"/>
  <c r="AB521" i="1" s="1"/>
  <c r="BF521" i="1"/>
  <c r="BD521" i="1"/>
  <c r="AX521" i="1"/>
  <c r="BC521" i="1" s="1"/>
  <c r="AW521" i="1"/>
  <c r="AP521" i="1"/>
  <c r="BI521" i="1" s="1"/>
  <c r="AC521" i="1" s="1"/>
  <c r="AO521" i="1"/>
  <c r="AK521" i="1"/>
  <c r="AJ521" i="1"/>
  <c r="AH521" i="1"/>
  <c r="AG521" i="1"/>
  <c r="AF521" i="1"/>
  <c r="AE521" i="1"/>
  <c r="AD521" i="1"/>
  <c r="Z521" i="1"/>
  <c r="O521" i="1"/>
  <c r="L521" i="1"/>
  <c r="AL521" i="1" s="1"/>
  <c r="K521" i="1"/>
  <c r="J521" i="1"/>
  <c r="BW519" i="1"/>
  <c r="BJ519" i="1"/>
  <c r="BF519" i="1"/>
  <c r="BD519" i="1"/>
  <c r="AX519" i="1"/>
  <c r="AP519" i="1"/>
  <c r="BI519" i="1" s="1"/>
  <c r="AC519" i="1" s="1"/>
  <c r="AO519" i="1"/>
  <c r="BH519" i="1" s="1"/>
  <c r="AB519" i="1" s="1"/>
  <c r="AK519" i="1"/>
  <c r="AJ519" i="1"/>
  <c r="AH519" i="1"/>
  <c r="AG519" i="1"/>
  <c r="AF519" i="1"/>
  <c r="AE519" i="1"/>
  <c r="AD519" i="1"/>
  <c r="Z519" i="1"/>
  <c r="O519" i="1"/>
  <c r="L519" i="1"/>
  <c r="M519" i="1" s="1"/>
  <c r="J519" i="1"/>
  <c r="BW517" i="1"/>
  <c r="BJ517" i="1"/>
  <c r="BF517" i="1"/>
  <c r="BD517" i="1"/>
  <c r="AP517" i="1"/>
  <c r="BI517" i="1" s="1"/>
  <c r="AC517" i="1" s="1"/>
  <c r="AO517" i="1"/>
  <c r="BH517" i="1" s="1"/>
  <c r="AB517" i="1" s="1"/>
  <c r="AK517" i="1"/>
  <c r="AJ517" i="1"/>
  <c r="AH517" i="1"/>
  <c r="AG517" i="1"/>
  <c r="AF517" i="1"/>
  <c r="AE517" i="1"/>
  <c r="AD517" i="1"/>
  <c r="Z517" i="1"/>
  <c r="O517" i="1"/>
  <c r="M517" i="1"/>
  <c r="L517" i="1"/>
  <c r="AL517" i="1" s="1"/>
  <c r="BW515" i="1"/>
  <c r="BJ515" i="1"/>
  <c r="BD515" i="1"/>
  <c r="AW515" i="1"/>
  <c r="AP515" i="1"/>
  <c r="K515" i="1" s="1"/>
  <c r="AO515" i="1"/>
  <c r="J515" i="1" s="1"/>
  <c r="AK515" i="1"/>
  <c r="AJ515" i="1"/>
  <c r="AH515" i="1"/>
  <c r="AG515" i="1"/>
  <c r="AF515" i="1"/>
  <c r="AE515" i="1"/>
  <c r="AD515" i="1"/>
  <c r="Z515" i="1"/>
  <c r="O515" i="1"/>
  <c r="BF515" i="1" s="1"/>
  <c r="L515" i="1"/>
  <c r="AL515" i="1" s="1"/>
  <c r="BW507" i="1"/>
  <c r="BJ507" i="1"/>
  <c r="BD507" i="1"/>
  <c r="AP507" i="1"/>
  <c r="AO507" i="1"/>
  <c r="AW507" i="1" s="1"/>
  <c r="AK507" i="1"/>
  <c r="AT506" i="1" s="1"/>
  <c r="AJ507" i="1"/>
  <c r="AH507" i="1"/>
  <c r="AG507" i="1"/>
  <c r="AF507" i="1"/>
  <c r="AE507" i="1"/>
  <c r="AD507" i="1"/>
  <c r="Z507" i="1"/>
  <c r="O507" i="1"/>
  <c r="BF507" i="1" s="1"/>
  <c r="L507" i="1"/>
  <c r="M507" i="1" s="1"/>
  <c r="O506" i="1"/>
  <c r="BW504" i="1"/>
  <c r="BJ504" i="1"/>
  <c r="BF504" i="1"/>
  <c r="BD504" i="1"/>
  <c r="AP504" i="1"/>
  <c r="BI504" i="1" s="1"/>
  <c r="AC504" i="1" s="1"/>
  <c r="AO504" i="1"/>
  <c r="BH504" i="1" s="1"/>
  <c r="AB504" i="1" s="1"/>
  <c r="AK504" i="1"/>
  <c r="AJ504" i="1"/>
  <c r="AH504" i="1"/>
  <c r="AG504" i="1"/>
  <c r="AF504" i="1"/>
  <c r="AE504" i="1"/>
  <c r="AD504" i="1"/>
  <c r="Z504" i="1"/>
  <c r="O504" i="1"/>
  <c r="L504" i="1"/>
  <c r="AL504" i="1" s="1"/>
  <c r="J504" i="1"/>
  <c r="BW501" i="1"/>
  <c r="BJ501" i="1"/>
  <c r="BF501" i="1"/>
  <c r="BD501" i="1"/>
  <c r="AP501" i="1"/>
  <c r="BI501" i="1" s="1"/>
  <c r="AC501" i="1" s="1"/>
  <c r="AO501" i="1"/>
  <c r="BH501" i="1" s="1"/>
  <c r="AB501" i="1" s="1"/>
  <c r="AK501" i="1"/>
  <c r="AJ501" i="1"/>
  <c r="AH501" i="1"/>
  <c r="AG501" i="1"/>
  <c r="AF501" i="1"/>
  <c r="AE501" i="1"/>
  <c r="AD501" i="1"/>
  <c r="Z501" i="1"/>
  <c r="O501" i="1"/>
  <c r="M501" i="1"/>
  <c r="L501" i="1"/>
  <c r="AL501" i="1" s="1"/>
  <c r="K501" i="1"/>
  <c r="J501" i="1"/>
  <c r="BW499" i="1"/>
  <c r="BJ499" i="1"/>
  <c r="BH499" i="1"/>
  <c r="AB499" i="1" s="1"/>
  <c r="BD499" i="1"/>
  <c r="AP499" i="1"/>
  <c r="BI499" i="1" s="1"/>
  <c r="AC499" i="1" s="1"/>
  <c r="AO499" i="1"/>
  <c r="J499" i="1" s="1"/>
  <c r="AK499" i="1"/>
  <c r="AT498" i="1" s="1"/>
  <c r="AJ499" i="1"/>
  <c r="AH499" i="1"/>
  <c r="AG499" i="1"/>
  <c r="AF499" i="1"/>
  <c r="AE499" i="1"/>
  <c r="AD499" i="1"/>
  <c r="Z499" i="1"/>
  <c r="O499" i="1"/>
  <c r="L499" i="1"/>
  <c r="AL499" i="1" s="1"/>
  <c r="K499" i="1"/>
  <c r="BW497" i="1"/>
  <c r="BJ497" i="1"/>
  <c r="BD497" i="1"/>
  <c r="AW497" i="1"/>
  <c r="AP497" i="1"/>
  <c r="K497" i="1" s="1"/>
  <c r="AO497" i="1"/>
  <c r="BH497" i="1" s="1"/>
  <c r="AB497" i="1" s="1"/>
  <c r="AK497" i="1"/>
  <c r="AJ497" i="1"/>
  <c r="AH497" i="1"/>
  <c r="AG497" i="1"/>
  <c r="AF497" i="1"/>
  <c r="AE497" i="1"/>
  <c r="AD497" i="1"/>
  <c r="Z497" i="1"/>
  <c r="O497" i="1"/>
  <c r="L497" i="1"/>
  <c r="AL497" i="1" s="1"/>
  <c r="J497" i="1"/>
  <c r="BW495" i="1"/>
  <c r="BJ495" i="1"/>
  <c r="BF495" i="1"/>
  <c r="BD495" i="1"/>
  <c r="AP495" i="1"/>
  <c r="BI495" i="1" s="1"/>
  <c r="AC495" i="1" s="1"/>
  <c r="AO495" i="1"/>
  <c r="BH495" i="1" s="1"/>
  <c r="AB495" i="1" s="1"/>
  <c r="AL495" i="1"/>
  <c r="AK495" i="1"/>
  <c r="AJ495" i="1"/>
  <c r="AH495" i="1"/>
  <c r="AG495" i="1"/>
  <c r="AF495" i="1"/>
  <c r="AE495" i="1"/>
  <c r="AD495" i="1"/>
  <c r="Z495" i="1"/>
  <c r="O495" i="1"/>
  <c r="M495" i="1"/>
  <c r="L495" i="1"/>
  <c r="J495" i="1"/>
  <c r="BW494" i="1"/>
  <c r="BJ494" i="1"/>
  <c r="BF494" i="1"/>
  <c r="BD494" i="1"/>
  <c r="AP494" i="1"/>
  <c r="BI494" i="1" s="1"/>
  <c r="AC494" i="1" s="1"/>
  <c r="AO494" i="1"/>
  <c r="BH494" i="1" s="1"/>
  <c r="AB494" i="1" s="1"/>
  <c r="AK494" i="1"/>
  <c r="AJ494" i="1"/>
  <c r="AH494" i="1"/>
  <c r="AG494" i="1"/>
  <c r="AF494" i="1"/>
  <c r="AE494" i="1"/>
  <c r="AD494" i="1"/>
  <c r="Z494" i="1"/>
  <c r="O494" i="1"/>
  <c r="M494" i="1"/>
  <c r="L494" i="1"/>
  <c r="AL494" i="1" s="1"/>
  <c r="BW492" i="1"/>
  <c r="BJ492" i="1"/>
  <c r="BD492" i="1"/>
  <c r="AP492" i="1"/>
  <c r="K492" i="1" s="1"/>
  <c r="AO492" i="1"/>
  <c r="J492" i="1" s="1"/>
  <c r="AK492" i="1"/>
  <c r="AJ492" i="1"/>
  <c r="AH492" i="1"/>
  <c r="AG492" i="1"/>
  <c r="AF492" i="1"/>
  <c r="AE492" i="1"/>
  <c r="AD492" i="1"/>
  <c r="Z492" i="1"/>
  <c r="O492" i="1"/>
  <c r="BF492" i="1" s="1"/>
  <c r="L492" i="1"/>
  <c r="AL492" i="1" s="1"/>
  <c r="BW489" i="1"/>
  <c r="BJ489" i="1"/>
  <c r="BD489" i="1"/>
  <c r="AP489" i="1"/>
  <c r="AO489" i="1"/>
  <c r="AW489" i="1" s="1"/>
  <c r="AL489" i="1"/>
  <c r="AK489" i="1"/>
  <c r="AJ489" i="1"/>
  <c r="AH489" i="1"/>
  <c r="AG489" i="1"/>
  <c r="AF489" i="1"/>
  <c r="AE489" i="1"/>
  <c r="AD489" i="1"/>
  <c r="Z489" i="1"/>
  <c r="O489" i="1"/>
  <c r="BF489" i="1" s="1"/>
  <c r="L489" i="1"/>
  <c r="M489" i="1" s="1"/>
  <c r="BW488" i="1"/>
  <c r="BJ488" i="1"/>
  <c r="BF488" i="1"/>
  <c r="BD488" i="1"/>
  <c r="AP488" i="1"/>
  <c r="BI488" i="1" s="1"/>
  <c r="AC488" i="1" s="1"/>
  <c r="AO488" i="1"/>
  <c r="AW488" i="1" s="1"/>
  <c r="AK488" i="1"/>
  <c r="AJ488" i="1"/>
  <c r="AH488" i="1"/>
  <c r="AG488" i="1"/>
  <c r="AF488" i="1"/>
  <c r="AE488" i="1"/>
  <c r="AD488" i="1"/>
  <c r="Z488" i="1"/>
  <c r="O488" i="1"/>
  <c r="L488" i="1"/>
  <c r="AL488" i="1" s="1"/>
  <c r="K488" i="1"/>
  <c r="J488" i="1"/>
  <c r="BW487" i="1"/>
  <c r="BJ487" i="1"/>
  <c r="BF487" i="1"/>
  <c r="BD487" i="1"/>
  <c r="AP487" i="1"/>
  <c r="BI487" i="1" s="1"/>
  <c r="AC487" i="1" s="1"/>
  <c r="AO487" i="1"/>
  <c r="AW487" i="1" s="1"/>
  <c r="AK487" i="1"/>
  <c r="AJ487" i="1"/>
  <c r="AH487" i="1"/>
  <c r="AG487" i="1"/>
  <c r="AF487" i="1"/>
  <c r="AE487" i="1"/>
  <c r="AD487" i="1"/>
  <c r="Z487" i="1"/>
  <c r="O487" i="1"/>
  <c r="L487" i="1"/>
  <c r="AL487" i="1" s="1"/>
  <c r="AU484" i="1" s="1"/>
  <c r="J487" i="1"/>
  <c r="BW485" i="1"/>
  <c r="BJ485" i="1"/>
  <c r="BF485" i="1"/>
  <c r="BD485" i="1"/>
  <c r="AP485" i="1"/>
  <c r="AO485" i="1"/>
  <c r="BH485" i="1" s="1"/>
  <c r="AB485" i="1" s="1"/>
  <c r="AK485" i="1"/>
  <c r="AJ485" i="1"/>
  <c r="AH485" i="1"/>
  <c r="AG485" i="1"/>
  <c r="AF485" i="1"/>
  <c r="AE485" i="1"/>
  <c r="AD485" i="1"/>
  <c r="Z485" i="1"/>
  <c r="O485" i="1"/>
  <c r="L485" i="1"/>
  <c r="AL485" i="1" s="1"/>
  <c r="J485" i="1"/>
  <c r="BW482" i="1"/>
  <c r="BJ482" i="1"/>
  <c r="BD482" i="1"/>
  <c r="AP482" i="1"/>
  <c r="AO482" i="1"/>
  <c r="AK482" i="1"/>
  <c r="AT481" i="1" s="1"/>
  <c r="AJ482" i="1"/>
  <c r="AS481" i="1" s="1"/>
  <c r="AH482" i="1"/>
  <c r="AG482" i="1"/>
  <c r="AF482" i="1"/>
  <c r="AE482" i="1"/>
  <c r="AD482" i="1"/>
  <c r="Z482" i="1"/>
  <c r="O482" i="1"/>
  <c r="BF482" i="1" s="1"/>
  <c r="L482" i="1"/>
  <c r="M482" i="1" s="1"/>
  <c r="O481" i="1"/>
  <c r="M481" i="1"/>
  <c r="BW477" i="1"/>
  <c r="BJ477" i="1"/>
  <c r="BF477" i="1"/>
  <c r="BD477" i="1"/>
  <c r="AX477" i="1"/>
  <c r="AP477" i="1"/>
  <c r="BI477" i="1" s="1"/>
  <c r="AO477" i="1"/>
  <c r="AW477" i="1" s="1"/>
  <c r="AL477" i="1"/>
  <c r="AU471" i="1" s="1"/>
  <c r="AK477" i="1"/>
  <c r="AJ477" i="1"/>
  <c r="AH477" i="1"/>
  <c r="AG477" i="1"/>
  <c r="AF477" i="1"/>
  <c r="AE477" i="1"/>
  <c r="AC477" i="1"/>
  <c r="AB477" i="1"/>
  <c r="Z477" i="1"/>
  <c r="O477" i="1"/>
  <c r="M477" i="1"/>
  <c r="L477" i="1"/>
  <c r="BW472" i="1"/>
  <c r="BJ472" i="1"/>
  <c r="BF472" i="1"/>
  <c r="BD472" i="1"/>
  <c r="AP472" i="1"/>
  <c r="BI472" i="1" s="1"/>
  <c r="AE472" i="1" s="1"/>
  <c r="AO472" i="1"/>
  <c r="BH472" i="1" s="1"/>
  <c r="AD472" i="1" s="1"/>
  <c r="AK472" i="1"/>
  <c r="AT471" i="1" s="1"/>
  <c r="AJ472" i="1"/>
  <c r="AH472" i="1"/>
  <c r="AG472" i="1"/>
  <c r="AF472" i="1"/>
  <c r="AC472" i="1"/>
  <c r="AB472" i="1"/>
  <c r="Z472" i="1"/>
  <c r="O472" i="1"/>
  <c r="M472" i="1"/>
  <c r="M471" i="1" s="1"/>
  <c r="L472" i="1"/>
  <c r="AL472" i="1" s="1"/>
  <c r="O471" i="1"/>
  <c r="BW450" i="1"/>
  <c r="BJ450" i="1"/>
  <c r="BD450" i="1"/>
  <c r="AP450" i="1"/>
  <c r="AO450" i="1"/>
  <c r="AK450" i="1"/>
  <c r="AT449" i="1" s="1"/>
  <c r="AJ450" i="1"/>
  <c r="AH450" i="1"/>
  <c r="AG450" i="1"/>
  <c r="AF450" i="1"/>
  <c r="AC450" i="1"/>
  <c r="AB450" i="1"/>
  <c r="Z450" i="1"/>
  <c r="O450" i="1"/>
  <c r="BF450" i="1" s="1"/>
  <c r="L450" i="1"/>
  <c r="L449" i="1" s="1"/>
  <c r="AS449" i="1"/>
  <c r="O449" i="1"/>
  <c r="BW448" i="1"/>
  <c r="BJ448" i="1"/>
  <c r="Z448" i="1" s="1"/>
  <c r="BH448" i="1"/>
  <c r="BF448" i="1"/>
  <c r="BD448" i="1"/>
  <c r="AW448" i="1"/>
  <c r="AP448" i="1"/>
  <c r="BI448" i="1" s="1"/>
  <c r="AO448" i="1"/>
  <c r="AL448" i="1"/>
  <c r="AK448" i="1"/>
  <c r="AJ448" i="1"/>
  <c r="AH448" i="1"/>
  <c r="AG448" i="1"/>
  <c r="AF448" i="1"/>
  <c r="AE448" i="1"/>
  <c r="AD448" i="1"/>
  <c r="AC448" i="1"/>
  <c r="AB448" i="1"/>
  <c r="O448" i="1"/>
  <c r="M448" i="1"/>
  <c r="L448" i="1"/>
  <c r="J448" i="1"/>
  <c r="BW445" i="1"/>
  <c r="BJ445" i="1"/>
  <c r="BF445" i="1"/>
  <c r="BD445" i="1"/>
  <c r="AP445" i="1"/>
  <c r="BI445" i="1" s="1"/>
  <c r="AE445" i="1" s="1"/>
  <c r="AO445" i="1"/>
  <c r="BH445" i="1" s="1"/>
  <c r="AD445" i="1" s="1"/>
  <c r="AK445" i="1"/>
  <c r="AJ445" i="1"/>
  <c r="AH445" i="1"/>
  <c r="AG445" i="1"/>
  <c r="AF445" i="1"/>
  <c r="AC445" i="1"/>
  <c r="AB445" i="1"/>
  <c r="Z445" i="1"/>
  <c r="O445" i="1"/>
  <c r="M445" i="1"/>
  <c r="L445" i="1"/>
  <c r="AL445" i="1" s="1"/>
  <c r="BW443" i="1"/>
  <c r="BJ443" i="1"/>
  <c r="BH443" i="1"/>
  <c r="BD443" i="1"/>
  <c r="AX443" i="1"/>
  <c r="AW443" i="1"/>
  <c r="AP443" i="1"/>
  <c r="K443" i="1" s="1"/>
  <c r="AO443" i="1"/>
  <c r="J443" i="1" s="1"/>
  <c r="AK443" i="1"/>
  <c r="AJ443" i="1"/>
  <c r="AH443" i="1"/>
  <c r="AG443" i="1"/>
  <c r="AF443" i="1"/>
  <c r="AD443" i="1"/>
  <c r="AC443" i="1"/>
  <c r="AB443" i="1"/>
  <c r="Z443" i="1"/>
  <c r="O443" i="1"/>
  <c r="BF443" i="1" s="1"/>
  <c r="L443" i="1"/>
  <c r="M443" i="1" s="1"/>
  <c r="BW440" i="1"/>
  <c r="BJ440" i="1"/>
  <c r="BD440" i="1"/>
  <c r="AW440" i="1"/>
  <c r="AP440" i="1"/>
  <c r="AO440" i="1"/>
  <c r="AK440" i="1"/>
  <c r="AT439" i="1" s="1"/>
  <c r="AJ440" i="1"/>
  <c r="AH440" i="1"/>
  <c r="AG440" i="1"/>
  <c r="AF440" i="1"/>
  <c r="AC440" i="1"/>
  <c r="AB440" i="1"/>
  <c r="Z440" i="1"/>
  <c r="O440" i="1"/>
  <c r="BF440" i="1" s="1"/>
  <c r="L440" i="1"/>
  <c r="AL440" i="1" s="1"/>
  <c r="O439" i="1"/>
  <c r="L439" i="1"/>
  <c r="BW436" i="1"/>
  <c r="BJ436" i="1"/>
  <c r="BH436" i="1"/>
  <c r="AD436" i="1" s="1"/>
  <c r="BF436" i="1"/>
  <c r="BD436" i="1"/>
  <c r="AX436" i="1"/>
  <c r="AW436" i="1"/>
  <c r="AV436" i="1" s="1"/>
  <c r="AP436" i="1"/>
  <c r="BI436" i="1" s="1"/>
  <c r="AE436" i="1" s="1"/>
  <c r="AO436" i="1"/>
  <c r="AK436" i="1"/>
  <c r="AJ436" i="1"/>
  <c r="AH436" i="1"/>
  <c r="AG436" i="1"/>
  <c r="AF436" i="1"/>
  <c r="AC436" i="1"/>
  <c r="AB436" i="1"/>
  <c r="Z436" i="1"/>
  <c r="O436" i="1"/>
  <c r="L436" i="1"/>
  <c r="M436" i="1" s="1"/>
  <c r="J436" i="1"/>
  <c r="BW435" i="1"/>
  <c r="BJ435" i="1"/>
  <c r="BF435" i="1"/>
  <c r="BD435" i="1"/>
  <c r="AP435" i="1"/>
  <c r="BI435" i="1" s="1"/>
  <c r="AE435" i="1" s="1"/>
  <c r="AO435" i="1"/>
  <c r="BH435" i="1" s="1"/>
  <c r="AD435" i="1" s="1"/>
  <c r="AK435" i="1"/>
  <c r="AJ435" i="1"/>
  <c r="AH435" i="1"/>
  <c r="AG435" i="1"/>
  <c r="AF435" i="1"/>
  <c r="AC435" i="1"/>
  <c r="AB435" i="1"/>
  <c r="Z435" i="1"/>
  <c r="O435" i="1"/>
  <c r="L435" i="1"/>
  <c r="AL435" i="1" s="1"/>
  <c r="J435" i="1"/>
  <c r="BW433" i="1"/>
  <c r="BJ433" i="1"/>
  <c r="BI433" i="1"/>
  <c r="AE433" i="1" s="1"/>
  <c r="BH433" i="1"/>
  <c r="AD433" i="1" s="1"/>
  <c r="BD433" i="1"/>
  <c r="AP433" i="1"/>
  <c r="AX433" i="1" s="1"/>
  <c r="AO433" i="1"/>
  <c r="AW433" i="1" s="1"/>
  <c r="AK433" i="1"/>
  <c r="AJ433" i="1"/>
  <c r="AH433" i="1"/>
  <c r="AG433" i="1"/>
  <c r="AF433" i="1"/>
  <c r="AC433" i="1"/>
  <c r="AB433" i="1"/>
  <c r="Z433" i="1"/>
  <c r="O433" i="1"/>
  <c r="L433" i="1"/>
  <c r="M433" i="1" s="1"/>
  <c r="K433" i="1"/>
  <c r="J433" i="1"/>
  <c r="BW431" i="1"/>
  <c r="BJ431" i="1"/>
  <c r="BD431" i="1"/>
  <c r="AP431" i="1"/>
  <c r="AO431" i="1"/>
  <c r="AK431" i="1"/>
  <c r="AJ431" i="1"/>
  <c r="AS430" i="1" s="1"/>
  <c r="AH431" i="1"/>
  <c r="AG431" i="1"/>
  <c r="AF431" i="1"/>
  <c r="AC431" i="1"/>
  <c r="AB431" i="1"/>
  <c r="Z431" i="1"/>
  <c r="O431" i="1"/>
  <c r="BF431" i="1" s="1"/>
  <c r="L431" i="1"/>
  <c r="BW429" i="1"/>
  <c r="BJ429" i="1"/>
  <c r="Z429" i="1" s="1"/>
  <c r="BH429" i="1"/>
  <c r="BF429" i="1"/>
  <c r="BD429" i="1"/>
  <c r="AX429" i="1"/>
  <c r="AP429" i="1"/>
  <c r="BI429" i="1" s="1"/>
  <c r="AO429" i="1"/>
  <c r="AW429" i="1" s="1"/>
  <c r="AL429" i="1"/>
  <c r="AK429" i="1"/>
  <c r="AJ429" i="1"/>
  <c r="AH429" i="1"/>
  <c r="AG429" i="1"/>
  <c r="AF429" i="1"/>
  <c r="AE429" i="1"/>
  <c r="AD429" i="1"/>
  <c r="AC429" i="1"/>
  <c r="AB429" i="1"/>
  <c r="O429" i="1"/>
  <c r="M429" i="1"/>
  <c r="L429" i="1"/>
  <c r="J429" i="1"/>
  <c r="BW428" i="1"/>
  <c r="BJ428" i="1"/>
  <c r="BF428" i="1"/>
  <c r="BD428" i="1"/>
  <c r="AW428" i="1"/>
  <c r="AP428" i="1"/>
  <c r="AO428" i="1"/>
  <c r="BH428" i="1" s="1"/>
  <c r="AK428" i="1"/>
  <c r="AJ428" i="1"/>
  <c r="AH428" i="1"/>
  <c r="AG428" i="1"/>
  <c r="AF428" i="1"/>
  <c r="AD428" i="1"/>
  <c r="AC428" i="1"/>
  <c r="AB428" i="1"/>
  <c r="Z428" i="1"/>
  <c r="O428" i="1"/>
  <c r="L428" i="1"/>
  <c r="AL428" i="1" s="1"/>
  <c r="BW427" i="1"/>
  <c r="BJ427" i="1"/>
  <c r="BI427" i="1"/>
  <c r="AE427" i="1" s="1"/>
  <c r="BH427" i="1"/>
  <c r="AD427" i="1" s="1"/>
  <c r="BD427" i="1"/>
  <c r="AX427" i="1"/>
  <c r="AP427" i="1"/>
  <c r="AO427" i="1"/>
  <c r="AW427" i="1" s="1"/>
  <c r="AK427" i="1"/>
  <c r="AJ427" i="1"/>
  <c r="AH427" i="1"/>
  <c r="AG427" i="1"/>
  <c r="AF427" i="1"/>
  <c r="AC427" i="1"/>
  <c r="AB427" i="1"/>
  <c r="Z427" i="1"/>
  <c r="O427" i="1"/>
  <c r="BF427" i="1" s="1"/>
  <c r="L427" i="1"/>
  <c r="K427" i="1"/>
  <c r="BW425" i="1"/>
  <c r="BJ425" i="1"/>
  <c r="BD425" i="1"/>
  <c r="AP425" i="1"/>
  <c r="AO425" i="1"/>
  <c r="J425" i="1" s="1"/>
  <c r="AK425" i="1"/>
  <c r="AJ425" i="1"/>
  <c r="AH425" i="1"/>
  <c r="AG425" i="1"/>
  <c r="AF425" i="1"/>
  <c r="AC425" i="1"/>
  <c r="AB425" i="1"/>
  <c r="Z425" i="1"/>
  <c r="O425" i="1"/>
  <c r="BF425" i="1" s="1"/>
  <c r="L425" i="1"/>
  <c r="BW423" i="1"/>
  <c r="M423" i="1" s="1"/>
  <c r="BJ423" i="1"/>
  <c r="BD423" i="1"/>
  <c r="AP423" i="1"/>
  <c r="BI423" i="1" s="1"/>
  <c r="AE423" i="1" s="1"/>
  <c r="AO423" i="1"/>
  <c r="AW423" i="1" s="1"/>
  <c r="AL423" i="1"/>
  <c r="AK423" i="1"/>
  <c r="AJ423" i="1"/>
  <c r="AH423" i="1"/>
  <c r="AG423" i="1"/>
  <c r="AF423" i="1"/>
  <c r="AC423" i="1"/>
  <c r="AB423" i="1"/>
  <c r="Z423" i="1"/>
  <c r="O423" i="1"/>
  <c r="BF423" i="1" s="1"/>
  <c r="L423" i="1"/>
  <c r="K423" i="1"/>
  <c r="BW421" i="1"/>
  <c r="BJ421" i="1"/>
  <c r="BF421" i="1"/>
  <c r="BD421" i="1"/>
  <c r="AP421" i="1"/>
  <c r="AX421" i="1" s="1"/>
  <c r="AO421" i="1"/>
  <c r="AW421" i="1" s="1"/>
  <c r="AK421" i="1"/>
  <c r="AJ421" i="1"/>
  <c r="AH421" i="1"/>
  <c r="AG421" i="1"/>
  <c r="AF421" i="1"/>
  <c r="AC421" i="1"/>
  <c r="AB421" i="1"/>
  <c r="Z421" i="1"/>
  <c r="O421" i="1"/>
  <c r="L421" i="1"/>
  <c r="AL421" i="1" s="1"/>
  <c r="J421" i="1"/>
  <c r="BW419" i="1"/>
  <c r="BJ419" i="1"/>
  <c r="BF419" i="1"/>
  <c r="BD419" i="1"/>
  <c r="AP419" i="1"/>
  <c r="BI419" i="1" s="1"/>
  <c r="AE419" i="1" s="1"/>
  <c r="AO419" i="1"/>
  <c r="AL419" i="1"/>
  <c r="AK419" i="1"/>
  <c r="AJ419" i="1"/>
  <c r="AH419" i="1"/>
  <c r="AG419" i="1"/>
  <c r="AF419" i="1"/>
  <c r="AC419" i="1"/>
  <c r="AB419" i="1"/>
  <c r="Z419" i="1"/>
  <c r="O419" i="1"/>
  <c r="M419" i="1"/>
  <c r="L419" i="1"/>
  <c r="BW414" i="1"/>
  <c r="BJ414" i="1"/>
  <c r="BI414" i="1"/>
  <c r="AE414" i="1" s="1"/>
  <c r="BF414" i="1"/>
  <c r="BD414" i="1"/>
  <c r="AP414" i="1"/>
  <c r="AX414" i="1" s="1"/>
  <c r="AO414" i="1"/>
  <c r="AW414" i="1" s="1"/>
  <c r="AK414" i="1"/>
  <c r="AJ414" i="1"/>
  <c r="AH414" i="1"/>
  <c r="AG414" i="1"/>
  <c r="AF414" i="1"/>
  <c r="AC414" i="1"/>
  <c r="AB414" i="1"/>
  <c r="Z414" i="1"/>
  <c r="O414" i="1"/>
  <c r="O413" i="1" s="1"/>
  <c r="L414" i="1"/>
  <c r="AL414" i="1" s="1"/>
  <c r="J414" i="1"/>
  <c r="BW412" i="1"/>
  <c r="BJ412" i="1"/>
  <c r="Z412" i="1" s="1"/>
  <c r="BF412" i="1"/>
  <c r="BD412" i="1"/>
  <c r="AP412" i="1"/>
  <c r="BI412" i="1" s="1"/>
  <c r="AO412" i="1"/>
  <c r="BH412" i="1" s="1"/>
  <c r="AK412" i="1"/>
  <c r="AJ412" i="1"/>
  <c r="AH412" i="1"/>
  <c r="AG412" i="1"/>
  <c r="AF412" i="1"/>
  <c r="AE412" i="1"/>
  <c r="AD412" i="1"/>
  <c r="AC412" i="1"/>
  <c r="AB412" i="1"/>
  <c r="O412" i="1"/>
  <c r="M412" i="1"/>
  <c r="L412" i="1"/>
  <c r="AL412" i="1" s="1"/>
  <c r="BW411" i="1"/>
  <c r="BJ411" i="1"/>
  <c r="BH411" i="1"/>
  <c r="AD411" i="1" s="1"/>
  <c r="BF411" i="1"/>
  <c r="BD411" i="1"/>
  <c r="AX411" i="1"/>
  <c r="AP411" i="1"/>
  <c r="K411" i="1" s="1"/>
  <c r="AO411" i="1"/>
  <c r="AW411" i="1" s="1"/>
  <c r="AK411" i="1"/>
  <c r="AJ411" i="1"/>
  <c r="AH411" i="1"/>
  <c r="AG411" i="1"/>
  <c r="AF411" i="1"/>
  <c r="AC411" i="1"/>
  <c r="AB411" i="1"/>
  <c r="Z411" i="1"/>
  <c r="O411" i="1"/>
  <c r="L411" i="1"/>
  <c r="AL411" i="1" s="1"/>
  <c r="J411" i="1"/>
  <c r="BW409" i="1"/>
  <c r="BJ409" i="1"/>
  <c r="BD409" i="1"/>
  <c r="AP409" i="1"/>
  <c r="BI409" i="1" s="1"/>
  <c r="AE409" i="1" s="1"/>
  <c r="AO409" i="1"/>
  <c r="BH409" i="1" s="1"/>
  <c r="AD409" i="1" s="1"/>
  <c r="AK409" i="1"/>
  <c r="AJ409" i="1"/>
  <c r="AH409" i="1"/>
  <c r="AG409" i="1"/>
  <c r="AF409" i="1"/>
  <c r="AC409" i="1"/>
  <c r="AB409" i="1"/>
  <c r="Z409" i="1"/>
  <c r="O409" i="1"/>
  <c r="BF409" i="1" s="1"/>
  <c r="L409" i="1"/>
  <c r="AL409" i="1" s="1"/>
  <c r="BW408" i="1"/>
  <c r="BJ408" i="1"/>
  <c r="BF408" i="1"/>
  <c r="BD408" i="1"/>
  <c r="AP408" i="1"/>
  <c r="BI408" i="1" s="1"/>
  <c r="AE408" i="1" s="1"/>
  <c r="AO408" i="1"/>
  <c r="BH408" i="1" s="1"/>
  <c r="AD408" i="1" s="1"/>
  <c r="AK408" i="1"/>
  <c r="AJ408" i="1"/>
  <c r="AH408" i="1"/>
  <c r="AG408" i="1"/>
  <c r="AF408" i="1"/>
  <c r="AC408" i="1"/>
  <c r="AB408" i="1"/>
  <c r="Z408" i="1"/>
  <c r="O408" i="1"/>
  <c r="L408" i="1"/>
  <c r="M408" i="1" s="1"/>
  <c r="K408" i="1"/>
  <c r="BW407" i="1"/>
  <c r="BJ407" i="1"/>
  <c r="BF407" i="1"/>
  <c r="BD407" i="1"/>
  <c r="AP407" i="1"/>
  <c r="K407" i="1" s="1"/>
  <c r="AO407" i="1"/>
  <c r="AW407" i="1" s="1"/>
  <c r="AK407" i="1"/>
  <c r="AJ407" i="1"/>
  <c r="AH407" i="1"/>
  <c r="AG407" i="1"/>
  <c r="AF407" i="1"/>
  <c r="AC407" i="1"/>
  <c r="AB407" i="1"/>
  <c r="Z407" i="1"/>
  <c r="O407" i="1"/>
  <c r="L407" i="1"/>
  <c r="AL407" i="1" s="1"/>
  <c r="BW406" i="1"/>
  <c r="BJ406" i="1"/>
  <c r="BF406" i="1"/>
  <c r="BD406" i="1"/>
  <c r="AP406" i="1"/>
  <c r="BI406" i="1" s="1"/>
  <c r="AE406" i="1" s="1"/>
  <c r="AO406" i="1"/>
  <c r="BH406" i="1" s="1"/>
  <c r="AD406" i="1" s="1"/>
  <c r="AL406" i="1"/>
  <c r="AK406" i="1"/>
  <c r="AJ406" i="1"/>
  <c r="AH406" i="1"/>
  <c r="AG406" i="1"/>
  <c r="AF406" i="1"/>
  <c r="AC406" i="1"/>
  <c r="AB406" i="1"/>
  <c r="Z406" i="1"/>
  <c r="O406" i="1"/>
  <c r="L406" i="1"/>
  <c r="M406" i="1" s="1"/>
  <c r="BW404" i="1"/>
  <c r="BJ404" i="1"/>
  <c r="BF404" i="1"/>
  <c r="BD404" i="1"/>
  <c r="AP404" i="1"/>
  <c r="AO404" i="1"/>
  <c r="AK404" i="1"/>
  <c r="AJ404" i="1"/>
  <c r="AH404" i="1"/>
  <c r="AG404" i="1"/>
  <c r="AF404" i="1"/>
  <c r="AC404" i="1"/>
  <c r="AB404" i="1"/>
  <c r="Z404" i="1"/>
  <c r="O404" i="1"/>
  <c r="L404" i="1"/>
  <c r="AL404" i="1" s="1"/>
  <c r="BW403" i="1"/>
  <c r="M403" i="1" s="1"/>
  <c r="BJ403" i="1"/>
  <c r="BI403" i="1"/>
  <c r="AE403" i="1" s="1"/>
  <c r="BD403" i="1"/>
  <c r="AP403" i="1"/>
  <c r="K403" i="1" s="1"/>
  <c r="AO403" i="1"/>
  <c r="J403" i="1" s="1"/>
  <c r="AL403" i="1"/>
  <c r="AK403" i="1"/>
  <c r="AJ403" i="1"/>
  <c r="AH403" i="1"/>
  <c r="AG403" i="1"/>
  <c r="AF403" i="1"/>
  <c r="AC403" i="1"/>
  <c r="AB403" i="1"/>
  <c r="Z403" i="1"/>
  <c r="O403" i="1"/>
  <c r="BF403" i="1" s="1"/>
  <c r="L403" i="1"/>
  <c r="BW402" i="1"/>
  <c r="BJ402" i="1"/>
  <c r="BF402" i="1"/>
  <c r="BD402" i="1"/>
  <c r="AP402" i="1"/>
  <c r="BI402" i="1" s="1"/>
  <c r="AE402" i="1" s="1"/>
  <c r="AO402" i="1"/>
  <c r="BH402" i="1" s="1"/>
  <c r="AD402" i="1" s="1"/>
  <c r="AK402" i="1"/>
  <c r="AJ402" i="1"/>
  <c r="AH402" i="1"/>
  <c r="AG402" i="1"/>
  <c r="AF402" i="1"/>
  <c r="AC402" i="1"/>
  <c r="AB402" i="1"/>
  <c r="Z402" i="1"/>
  <c r="O402" i="1"/>
  <c r="L402" i="1"/>
  <c r="M402" i="1" s="1"/>
  <c r="BW401" i="1"/>
  <c r="BJ401" i="1"/>
  <c r="BI401" i="1"/>
  <c r="BH401" i="1"/>
  <c r="AD401" i="1" s="1"/>
  <c r="BF401" i="1"/>
  <c r="BD401" i="1"/>
  <c r="AX401" i="1"/>
  <c r="AP401" i="1"/>
  <c r="AO401" i="1"/>
  <c r="AW401" i="1" s="1"/>
  <c r="AK401" i="1"/>
  <c r="AJ401" i="1"/>
  <c r="AH401" i="1"/>
  <c r="AG401" i="1"/>
  <c r="AF401" i="1"/>
  <c r="AE401" i="1"/>
  <c r="AC401" i="1"/>
  <c r="AB401" i="1"/>
  <c r="Z401" i="1"/>
  <c r="O401" i="1"/>
  <c r="L401" i="1"/>
  <c r="K401" i="1"/>
  <c r="BW400" i="1"/>
  <c r="BJ400" i="1"/>
  <c r="BF400" i="1"/>
  <c r="BD400" i="1"/>
  <c r="AP400" i="1"/>
  <c r="BI400" i="1" s="1"/>
  <c r="AE400" i="1" s="1"/>
  <c r="AO400" i="1"/>
  <c r="BH400" i="1" s="1"/>
  <c r="AD400" i="1" s="1"/>
  <c r="AK400" i="1"/>
  <c r="AJ400" i="1"/>
  <c r="AH400" i="1"/>
  <c r="AG400" i="1"/>
  <c r="AF400" i="1"/>
  <c r="AC400" i="1"/>
  <c r="AB400" i="1"/>
  <c r="Z400" i="1"/>
  <c r="O400" i="1"/>
  <c r="L400" i="1"/>
  <c r="M400" i="1" s="1"/>
  <c r="BW398" i="1"/>
  <c r="BJ398" i="1"/>
  <c r="BF398" i="1"/>
  <c r="BD398" i="1"/>
  <c r="AP398" i="1"/>
  <c r="AO398" i="1"/>
  <c r="AK398" i="1"/>
  <c r="AJ398" i="1"/>
  <c r="AH398" i="1"/>
  <c r="AG398" i="1"/>
  <c r="AF398" i="1"/>
  <c r="AC398" i="1"/>
  <c r="AB398" i="1"/>
  <c r="Z398" i="1"/>
  <c r="O398" i="1"/>
  <c r="M398" i="1"/>
  <c r="L398" i="1"/>
  <c r="AL398" i="1" s="1"/>
  <c r="BW396" i="1"/>
  <c r="BJ396" i="1"/>
  <c r="BI396" i="1"/>
  <c r="AE396" i="1" s="1"/>
  <c r="BD396" i="1"/>
  <c r="AP396" i="1"/>
  <c r="K396" i="1" s="1"/>
  <c r="AO396" i="1"/>
  <c r="J396" i="1" s="1"/>
  <c r="AL396" i="1"/>
  <c r="AK396" i="1"/>
  <c r="AJ396" i="1"/>
  <c r="AH396" i="1"/>
  <c r="AG396" i="1"/>
  <c r="AF396" i="1"/>
  <c r="AC396" i="1"/>
  <c r="AB396" i="1"/>
  <c r="Z396" i="1"/>
  <c r="O396" i="1"/>
  <c r="BF396" i="1" s="1"/>
  <c r="L396" i="1"/>
  <c r="BW395" i="1"/>
  <c r="BJ395" i="1"/>
  <c r="BF395" i="1"/>
  <c r="BD395" i="1"/>
  <c r="AW395" i="1"/>
  <c r="AP395" i="1"/>
  <c r="BI395" i="1" s="1"/>
  <c r="AE395" i="1" s="1"/>
  <c r="AO395" i="1"/>
  <c r="BH395" i="1" s="1"/>
  <c r="AD395" i="1" s="1"/>
  <c r="AK395" i="1"/>
  <c r="AJ395" i="1"/>
  <c r="AH395" i="1"/>
  <c r="AG395" i="1"/>
  <c r="AF395" i="1"/>
  <c r="AC395" i="1"/>
  <c r="AB395" i="1"/>
  <c r="Z395" i="1"/>
  <c r="O395" i="1"/>
  <c r="L395" i="1"/>
  <c r="M395" i="1" s="1"/>
  <c r="BW389" i="1"/>
  <c r="BJ389" i="1"/>
  <c r="BI389" i="1"/>
  <c r="BF389" i="1"/>
  <c r="BD389" i="1"/>
  <c r="AX389" i="1"/>
  <c r="BC389" i="1" s="1"/>
  <c r="AP389" i="1"/>
  <c r="AO389" i="1"/>
  <c r="AW389" i="1" s="1"/>
  <c r="AK389" i="1"/>
  <c r="AJ389" i="1"/>
  <c r="AH389" i="1"/>
  <c r="AG389" i="1"/>
  <c r="AF389" i="1"/>
  <c r="AE389" i="1"/>
  <c r="AC389" i="1"/>
  <c r="AB389" i="1"/>
  <c r="Z389" i="1"/>
  <c r="O389" i="1"/>
  <c r="L389" i="1"/>
  <c r="K389" i="1"/>
  <c r="J389" i="1"/>
  <c r="BW387" i="1"/>
  <c r="BJ387" i="1"/>
  <c r="BF387" i="1"/>
  <c r="BD387" i="1"/>
  <c r="AW387" i="1"/>
  <c r="AP387" i="1"/>
  <c r="BI387" i="1" s="1"/>
  <c r="AE387" i="1" s="1"/>
  <c r="AO387" i="1"/>
  <c r="BH387" i="1" s="1"/>
  <c r="AD387" i="1" s="1"/>
  <c r="AL387" i="1"/>
  <c r="AK387" i="1"/>
  <c r="AJ387" i="1"/>
  <c r="AH387" i="1"/>
  <c r="AG387" i="1"/>
  <c r="AF387" i="1"/>
  <c r="AC387" i="1"/>
  <c r="AB387" i="1"/>
  <c r="Z387" i="1"/>
  <c r="O387" i="1"/>
  <c r="L387" i="1"/>
  <c r="M387" i="1" s="1"/>
  <c r="BW385" i="1"/>
  <c r="M385" i="1" s="1"/>
  <c r="BJ385" i="1"/>
  <c r="BD385" i="1"/>
  <c r="AP385" i="1"/>
  <c r="K385" i="1" s="1"/>
  <c r="AO385" i="1"/>
  <c r="J385" i="1" s="1"/>
  <c r="AK385" i="1"/>
  <c r="AJ385" i="1"/>
  <c r="AH385" i="1"/>
  <c r="AG385" i="1"/>
  <c r="AF385" i="1"/>
  <c r="AE385" i="1"/>
  <c r="AD385" i="1"/>
  <c r="AC385" i="1"/>
  <c r="AB385" i="1"/>
  <c r="Z385" i="1"/>
  <c r="O385" i="1"/>
  <c r="BF385" i="1" s="1"/>
  <c r="L385" i="1"/>
  <c r="AL385" i="1" s="1"/>
  <c r="BW381" i="1"/>
  <c r="BJ381" i="1"/>
  <c r="BF381" i="1"/>
  <c r="BD381" i="1"/>
  <c r="AP381" i="1"/>
  <c r="BI381" i="1" s="1"/>
  <c r="AE381" i="1" s="1"/>
  <c r="AO381" i="1"/>
  <c r="BH381" i="1" s="1"/>
  <c r="AD381" i="1" s="1"/>
  <c r="AK381" i="1"/>
  <c r="AJ381" i="1"/>
  <c r="AH381" i="1"/>
  <c r="AG381" i="1"/>
  <c r="AF381" i="1"/>
  <c r="AC381" i="1"/>
  <c r="AB381" i="1"/>
  <c r="Z381" i="1"/>
  <c r="O381" i="1"/>
  <c r="L381" i="1"/>
  <c r="M381" i="1" s="1"/>
  <c r="K381" i="1"/>
  <c r="BW380" i="1"/>
  <c r="BJ380" i="1"/>
  <c r="BI380" i="1"/>
  <c r="AE380" i="1" s="1"/>
  <c r="BF380" i="1"/>
  <c r="BD380" i="1"/>
  <c r="AP380" i="1"/>
  <c r="K380" i="1" s="1"/>
  <c r="AO380" i="1"/>
  <c r="AW380" i="1" s="1"/>
  <c r="AK380" i="1"/>
  <c r="AJ380" i="1"/>
  <c r="AH380" i="1"/>
  <c r="AG380" i="1"/>
  <c r="AF380" i="1"/>
  <c r="AC380" i="1"/>
  <c r="AB380" i="1"/>
  <c r="Z380" i="1"/>
  <c r="O380" i="1"/>
  <c r="L380" i="1"/>
  <c r="AL380" i="1" s="1"/>
  <c r="J380" i="1"/>
  <c r="BW377" i="1"/>
  <c r="BJ377" i="1"/>
  <c r="BF377" i="1"/>
  <c r="BD377" i="1"/>
  <c r="AP377" i="1"/>
  <c r="BI377" i="1" s="1"/>
  <c r="AE377" i="1" s="1"/>
  <c r="AO377" i="1"/>
  <c r="BH377" i="1" s="1"/>
  <c r="AD377" i="1" s="1"/>
  <c r="AK377" i="1"/>
  <c r="AJ377" i="1"/>
  <c r="AH377" i="1"/>
  <c r="AG377" i="1"/>
  <c r="AF377" i="1"/>
  <c r="AC377" i="1"/>
  <c r="AB377" i="1"/>
  <c r="Z377" i="1"/>
  <c r="O377" i="1"/>
  <c r="L377" i="1"/>
  <c r="M377" i="1" s="1"/>
  <c r="BW372" i="1"/>
  <c r="BJ372" i="1"/>
  <c r="BF372" i="1"/>
  <c r="BD372" i="1"/>
  <c r="AW372" i="1"/>
  <c r="AP372" i="1"/>
  <c r="AO372" i="1"/>
  <c r="AK372" i="1"/>
  <c r="AJ372" i="1"/>
  <c r="AH372" i="1"/>
  <c r="AG372" i="1"/>
  <c r="AF372" i="1"/>
  <c r="AC372" i="1"/>
  <c r="AB372" i="1"/>
  <c r="Z372" i="1"/>
  <c r="O372" i="1"/>
  <c r="M372" i="1"/>
  <c r="L372" i="1"/>
  <c r="AL372" i="1" s="1"/>
  <c r="BW370" i="1"/>
  <c r="M370" i="1" s="1"/>
  <c r="BJ370" i="1"/>
  <c r="BH370" i="1"/>
  <c r="AD370" i="1" s="1"/>
  <c r="BD370" i="1"/>
  <c r="AP370" i="1"/>
  <c r="K370" i="1" s="1"/>
  <c r="AO370" i="1"/>
  <c r="J370" i="1" s="1"/>
  <c r="AL370" i="1"/>
  <c r="AK370" i="1"/>
  <c r="AJ370" i="1"/>
  <c r="AH370" i="1"/>
  <c r="AG370" i="1"/>
  <c r="AF370" i="1"/>
  <c r="AC370" i="1"/>
  <c r="AB370" i="1"/>
  <c r="Z370" i="1"/>
  <c r="O370" i="1"/>
  <c r="BF370" i="1" s="1"/>
  <c r="L370" i="1"/>
  <c r="BW364" i="1"/>
  <c r="BJ364" i="1"/>
  <c r="BF364" i="1"/>
  <c r="BD364" i="1"/>
  <c r="AP364" i="1"/>
  <c r="BI364" i="1" s="1"/>
  <c r="AE364" i="1" s="1"/>
  <c r="AO364" i="1"/>
  <c r="BH364" i="1" s="1"/>
  <c r="AD364" i="1" s="1"/>
  <c r="AL364" i="1"/>
  <c r="AK364" i="1"/>
  <c r="AJ364" i="1"/>
  <c r="AH364" i="1"/>
  <c r="AG364" i="1"/>
  <c r="AF364" i="1"/>
  <c r="AC364" i="1"/>
  <c r="AB364" i="1"/>
  <c r="Z364" i="1"/>
  <c r="O364" i="1"/>
  <c r="L364" i="1"/>
  <c r="M364" i="1" s="1"/>
  <c r="BW362" i="1"/>
  <c r="BJ362" i="1"/>
  <c r="BF362" i="1"/>
  <c r="BD362" i="1"/>
  <c r="AP362" i="1"/>
  <c r="K362" i="1" s="1"/>
  <c r="AO362" i="1"/>
  <c r="AW362" i="1" s="1"/>
  <c r="AK362" i="1"/>
  <c r="AJ362" i="1"/>
  <c r="AH362" i="1"/>
  <c r="AG362" i="1"/>
  <c r="AF362" i="1"/>
  <c r="AC362" i="1"/>
  <c r="AB362" i="1"/>
  <c r="Z362" i="1"/>
  <c r="O362" i="1"/>
  <c r="L362" i="1"/>
  <c r="AL362" i="1" s="1"/>
  <c r="J362" i="1"/>
  <c r="BW355" i="1"/>
  <c r="BJ355" i="1"/>
  <c r="BF355" i="1"/>
  <c r="BD355" i="1"/>
  <c r="AW355" i="1"/>
  <c r="AP355" i="1"/>
  <c r="BI355" i="1" s="1"/>
  <c r="AE355" i="1" s="1"/>
  <c r="AO355" i="1"/>
  <c r="BH355" i="1" s="1"/>
  <c r="AD355" i="1" s="1"/>
  <c r="AL355" i="1"/>
  <c r="AK355" i="1"/>
  <c r="AJ355" i="1"/>
  <c r="AH355" i="1"/>
  <c r="AG355" i="1"/>
  <c r="AF355" i="1"/>
  <c r="AC355" i="1"/>
  <c r="AB355" i="1"/>
  <c r="Z355" i="1"/>
  <c r="O355" i="1"/>
  <c r="L355" i="1"/>
  <c r="M355" i="1" s="1"/>
  <c r="BW348" i="1"/>
  <c r="BJ348" i="1"/>
  <c r="BF348" i="1"/>
  <c r="BD348" i="1"/>
  <c r="AP348" i="1"/>
  <c r="AO348" i="1"/>
  <c r="AW348" i="1" s="1"/>
  <c r="AK348" i="1"/>
  <c r="AJ348" i="1"/>
  <c r="AH348" i="1"/>
  <c r="AG348" i="1"/>
  <c r="AF348" i="1"/>
  <c r="AC348" i="1"/>
  <c r="AB348" i="1"/>
  <c r="Z348" i="1"/>
  <c r="O348" i="1"/>
  <c r="L348" i="1"/>
  <c r="AL348" i="1" s="1"/>
  <c r="BW345" i="1"/>
  <c r="M345" i="1" s="1"/>
  <c r="BJ345" i="1"/>
  <c r="BH345" i="1"/>
  <c r="AD345" i="1" s="1"/>
  <c r="BD345" i="1"/>
  <c r="AP345" i="1"/>
  <c r="K345" i="1" s="1"/>
  <c r="AO345" i="1"/>
  <c r="J345" i="1" s="1"/>
  <c r="AL345" i="1"/>
  <c r="AK345" i="1"/>
  <c r="AJ345" i="1"/>
  <c r="AH345" i="1"/>
  <c r="AG345" i="1"/>
  <c r="AF345" i="1"/>
  <c r="AC345" i="1"/>
  <c r="AB345" i="1"/>
  <c r="Z345" i="1"/>
  <c r="O345" i="1"/>
  <c r="BF345" i="1" s="1"/>
  <c r="L345" i="1"/>
  <c r="BW343" i="1"/>
  <c r="BJ343" i="1"/>
  <c r="BF343" i="1"/>
  <c r="BD343" i="1"/>
  <c r="AP343" i="1"/>
  <c r="BI343" i="1" s="1"/>
  <c r="AE343" i="1" s="1"/>
  <c r="AO343" i="1"/>
  <c r="BH343" i="1" s="1"/>
  <c r="AD343" i="1" s="1"/>
  <c r="AK343" i="1"/>
  <c r="AJ343" i="1"/>
  <c r="AH343" i="1"/>
  <c r="AG343" i="1"/>
  <c r="AF343" i="1"/>
  <c r="AC343" i="1"/>
  <c r="AB343" i="1"/>
  <c r="Z343" i="1"/>
  <c r="O343" i="1"/>
  <c r="L343" i="1"/>
  <c r="AL343" i="1" s="1"/>
  <c r="BW341" i="1"/>
  <c r="BJ341" i="1"/>
  <c r="BI341" i="1"/>
  <c r="AE341" i="1" s="1"/>
  <c r="BH341" i="1"/>
  <c r="AD341" i="1" s="1"/>
  <c r="BF341" i="1"/>
  <c r="BD341" i="1"/>
  <c r="AX341" i="1"/>
  <c r="AP341" i="1"/>
  <c r="K341" i="1" s="1"/>
  <c r="AO341" i="1"/>
  <c r="AW341" i="1" s="1"/>
  <c r="AK341" i="1"/>
  <c r="AJ341" i="1"/>
  <c r="AH341" i="1"/>
  <c r="AG341" i="1"/>
  <c r="AF341" i="1"/>
  <c r="AC341" i="1"/>
  <c r="AB341" i="1"/>
  <c r="Z341" i="1"/>
  <c r="O341" i="1"/>
  <c r="L341" i="1"/>
  <c r="AL341" i="1" s="1"/>
  <c r="J341" i="1"/>
  <c r="BW340" i="1"/>
  <c r="BJ340" i="1"/>
  <c r="BF340" i="1"/>
  <c r="BD340" i="1"/>
  <c r="AW340" i="1"/>
  <c r="AP340" i="1"/>
  <c r="AO340" i="1"/>
  <c r="BH340" i="1" s="1"/>
  <c r="AD340" i="1" s="1"/>
  <c r="AL340" i="1"/>
  <c r="AK340" i="1"/>
  <c r="AJ340" i="1"/>
  <c r="AH340" i="1"/>
  <c r="AG340" i="1"/>
  <c r="AF340" i="1"/>
  <c r="AC340" i="1"/>
  <c r="AB340" i="1"/>
  <c r="Z340" i="1"/>
  <c r="O340" i="1"/>
  <c r="L340" i="1"/>
  <c r="M340" i="1" s="1"/>
  <c r="BW337" i="1"/>
  <c r="BJ337" i="1"/>
  <c r="BF337" i="1"/>
  <c r="BD337" i="1"/>
  <c r="AP337" i="1"/>
  <c r="AO337" i="1"/>
  <c r="AK337" i="1"/>
  <c r="AJ337" i="1"/>
  <c r="AH337" i="1"/>
  <c r="AG337" i="1"/>
  <c r="AF337" i="1"/>
  <c r="AC337" i="1"/>
  <c r="AB337" i="1"/>
  <c r="Z337" i="1"/>
  <c r="O337" i="1"/>
  <c r="L337" i="1"/>
  <c r="AL337" i="1" s="1"/>
  <c r="BW335" i="1"/>
  <c r="M335" i="1" s="1"/>
  <c r="BJ335" i="1"/>
  <c r="BD335" i="1"/>
  <c r="AP335" i="1"/>
  <c r="K335" i="1" s="1"/>
  <c r="AO335" i="1"/>
  <c r="J335" i="1" s="1"/>
  <c r="AL335" i="1"/>
  <c r="AK335" i="1"/>
  <c r="AJ335" i="1"/>
  <c r="AH335" i="1"/>
  <c r="AG335" i="1"/>
  <c r="AF335" i="1"/>
  <c r="AC335" i="1"/>
  <c r="AB335" i="1"/>
  <c r="Z335" i="1"/>
  <c r="O335" i="1"/>
  <c r="BF335" i="1" s="1"/>
  <c r="L335" i="1"/>
  <c r="BW323" i="1"/>
  <c r="BJ323" i="1"/>
  <c r="BF323" i="1"/>
  <c r="BD323" i="1"/>
  <c r="AP323" i="1"/>
  <c r="K323" i="1" s="1"/>
  <c r="AO323" i="1"/>
  <c r="AW323" i="1" s="1"/>
  <c r="AK323" i="1"/>
  <c r="AJ323" i="1"/>
  <c r="AH323" i="1"/>
  <c r="AG323" i="1"/>
  <c r="AF323" i="1"/>
  <c r="AC323" i="1"/>
  <c r="AB323" i="1"/>
  <c r="Z323" i="1"/>
  <c r="O323" i="1"/>
  <c r="M323" i="1"/>
  <c r="L323" i="1"/>
  <c r="AL323" i="1" s="1"/>
  <c r="BW322" i="1"/>
  <c r="BJ322" i="1"/>
  <c r="BD322" i="1"/>
  <c r="AP322" i="1"/>
  <c r="K322" i="1" s="1"/>
  <c r="AO322" i="1"/>
  <c r="AW322" i="1" s="1"/>
  <c r="AK322" i="1"/>
  <c r="AJ322" i="1"/>
  <c r="AH322" i="1"/>
  <c r="AG322" i="1"/>
  <c r="AF322" i="1"/>
  <c r="AC322" i="1"/>
  <c r="AB322" i="1"/>
  <c r="Z322" i="1"/>
  <c r="O322" i="1"/>
  <c r="BF322" i="1" s="1"/>
  <c r="L322" i="1"/>
  <c r="AL322" i="1" s="1"/>
  <c r="BW321" i="1"/>
  <c r="BJ321" i="1"/>
  <c r="BF321" i="1"/>
  <c r="BD321" i="1"/>
  <c r="AP321" i="1"/>
  <c r="AO321" i="1"/>
  <c r="BH321" i="1" s="1"/>
  <c r="AD321" i="1" s="1"/>
  <c r="AL321" i="1"/>
  <c r="AK321" i="1"/>
  <c r="AJ321" i="1"/>
  <c r="AH321" i="1"/>
  <c r="AG321" i="1"/>
  <c r="AF321" i="1"/>
  <c r="AC321" i="1"/>
  <c r="AB321" i="1"/>
  <c r="Z321" i="1"/>
  <c r="O321" i="1"/>
  <c r="L321" i="1"/>
  <c r="M321" i="1" s="1"/>
  <c r="BW320" i="1"/>
  <c r="BJ320" i="1"/>
  <c r="BF320" i="1"/>
  <c r="BD320" i="1"/>
  <c r="AX320" i="1"/>
  <c r="AP320" i="1"/>
  <c r="BI320" i="1" s="1"/>
  <c r="AE320" i="1" s="1"/>
  <c r="AO320" i="1"/>
  <c r="BH320" i="1" s="1"/>
  <c r="AD320" i="1" s="1"/>
  <c r="AK320" i="1"/>
  <c r="AJ320" i="1"/>
  <c r="AH320" i="1"/>
  <c r="AG320" i="1"/>
  <c r="AF320" i="1"/>
  <c r="AC320" i="1"/>
  <c r="AB320" i="1"/>
  <c r="Z320" i="1"/>
  <c r="O320" i="1"/>
  <c r="L320" i="1"/>
  <c r="AL320" i="1" s="1"/>
  <c r="BW317" i="1"/>
  <c r="M317" i="1" s="1"/>
  <c r="BJ317" i="1"/>
  <c r="BH317" i="1"/>
  <c r="AD317" i="1" s="1"/>
  <c r="BD317" i="1"/>
  <c r="AW317" i="1"/>
  <c r="AP317" i="1"/>
  <c r="K317" i="1" s="1"/>
  <c r="AO317" i="1"/>
  <c r="J317" i="1" s="1"/>
  <c r="AK317" i="1"/>
  <c r="AJ317" i="1"/>
  <c r="AH317" i="1"/>
  <c r="AG317" i="1"/>
  <c r="AF317" i="1"/>
  <c r="AC317" i="1"/>
  <c r="AB317" i="1"/>
  <c r="Z317" i="1"/>
  <c r="O317" i="1"/>
  <c r="BF317" i="1" s="1"/>
  <c r="L317" i="1"/>
  <c r="AL317" i="1" s="1"/>
  <c r="BW312" i="1"/>
  <c r="BJ312" i="1"/>
  <c r="BF312" i="1"/>
  <c r="BD312" i="1"/>
  <c r="AP312" i="1"/>
  <c r="AO312" i="1"/>
  <c r="AL312" i="1"/>
  <c r="AK312" i="1"/>
  <c r="AJ312" i="1"/>
  <c r="AH312" i="1"/>
  <c r="AG312" i="1"/>
  <c r="AF312" i="1"/>
  <c r="AC312" i="1"/>
  <c r="AB312" i="1"/>
  <c r="Z312" i="1"/>
  <c r="O312" i="1"/>
  <c r="L312" i="1"/>
  <c r="M312" i="1" s="1"/>
  <c r="BW311" i="1"/>
  <c r="BJ311" i="1"/>
  <c r="BI311" i="1"/>
  <c r="AE311" i="1" s="1"/>
  <c r="BH311" i="1"/>
  <c r="AD311" i="1" s="1"/>
  <c r="BF311" i="1"/>
  <c r="BD311" i="1"/>
  <c r="AP311" i="1"/>
  <c r="AX311" i="1" s="1"/>
  <c r="BC311" i="1" s="1"/>
  <c r="AO311" i="1"/>
  <c r="AW311" i="1" s="1"/>
  <c r="AK311" i="1"/>
  <c r="AJ311" i="1"/>
  <c r="AH311" i="1"/>
  <c r="AG311" i="1"/>
  <c r="AF311" i="1"/>
  <c r="AC311" i="1"/>
  <c r="AB311" i="1"/>
  <c r="Z311" i="1"/>
  <c r="O311" i="1"/>
  <c r="L311" i="1"/>
  <c r="AL311" i="1" s="1"/>
  <c r="K311" i="1"/>
  <c r="J311" i="1"/>
  <c r="BW308" i="1"/>
  <c r="BJ308" i="1"/>
  <c r="BF308" i="1"/>
  <c r="BD308" i="1"/>
  <c r="AW308" i="1"/>
  <c r="AP308" i="1"/>
  <c r="AO308" i="1"/>
  <c r="BH308" i="1" s="1"/>
  <c r="AK308" i="1"/>
  <c r="AJ308" i="1"/>
  <c r="AH308" i="1"/>
  <c r="AG308" i="1"/>
  <c r="AF308" i="1"/>
  <c r="AD308" i="1"/>
  <c r="AC308" i="1"/>
  <c r="AB308" i="1"/>
  <c r="Z308" i="1"/>
  <c r="O308" i="1"/>
  <c r="L308" i="1"/>
  <c r="M308" i="1" s="1"/>
  <c r="BW305" i="1"/>
  <c r="BJ305" i="1"/>
  <c r="BI305" i="1"/>
  <c r="AE305" i="1" s="1"/>
  <c r="BF305" i="1"/>
  <c r="BD305" i="1"/>
  <c r="AX305" i="1"/>
  <c r="AP305" i="1"/>
  <c r="K305" i="1" s="1"/>
  <c r="AO305" i="1"/>
  <c r="BH305" i="1" s="1"/>
  <c r="AD305" i="1" s="1"/>
  <c r="AK305" i="1"/>
  <c r="AJ305" i="1"/>
  <c r="AH305" i="1"/>
  <c r="AG305" i="1"/>
  <c r="AF305" i="1"/>
  <c r="AC305" i="1"/>
  <c r="AB305" i="1"/>
  <c r="Z305" i="1"/>
  <c r="O305" i="1"/>
  <c r="L305" i="1"/>
  <c r="AL305" i="1" s="1"/>
  <c r="J305" i="1"/>
  <c r="BW303" i="1"/>
  <c r="BJ303" i="1"/>
  <c r="BI303" i="1"/>
  <c r="BH303" i="1"/>
  <c r="BD303" i="1"/>
  <c r="AW303" i="1"/>
  <c r="AP303" i="1"/>
  <c r="K303" i="1" s="1"/>
  <c r="AO303" i="1"/>
  <c r="J303" i="1" s="1"/>
  <c r="AK303" i="1"/>
  <c r="AJ303" i="1"/>
  <c r="AH303" i="1"/>
  <c r="AG303" i="1"/>
  <c r="AF303" i="1"/>
  <c r="AE303" i="1"/>
  <c r="AD303" i="1"/>
  <c r="AC303" i="1"/>
  <c r="AB303" i="1"/>
  <c r="Z303" i="1"/>
  <c r="O303" i="1"/>
  <c r="BF303" i="1" s="1"/>
  <c r="L303" i="1"/>
  <c r="AL303" i="1" s="1"/>
  <c r="BW301" i="1"/>
  <c r="BJ301" i="1"/>
  <c r="BF301" i="1"/>
  <c r="BD301" i="1"/>
  <c r="AW301" i="1"/>
  <c r="AP301" i="1"/>
  <c r="AO301" i="1"/>
  <c r="AL301" i="1"/>
  <c r="AK301" i="1"/>
  <c r="AJ301" i="1"/>
  <c r="AH301" i="1"/>
  <c r="AG301" i="1"/>
  <c r="AF301" i="1"/>
  <c r="AC301" i="1"/>
  <c r="AB301" i="1"/>
  <c r="Z301" i="1"/>
  <c r="O301" i="1"/>
  <c r="L301" i="1"/>
  <c r="M301" i="1" s="1"/>
  <c r="BW298" i="1"/>
  <c r="BJ298" i="1"/>
  <c r="BH298" i="1"/>
  <c r="AD298" i="1" s="1"/>
  <c r="BF298" i="1"/>
  <c r="BD298" i="1"/>
  <c r="AX298" i="1"/>
  <c r="BC298" i="1" s="1"/>
  <c r="AP298" i="1"/>
  <c r="BI298" i="1" s="1"/>
  <c r="AE298" i="1" s="1"/>
  <c r="AO298" i="1"/>
  <c r="AW298" i="1" s="1"/>
  <c r="AK298" i="1"/>
  <c r="AJ298" i="1"/>
  <c r="AH298" i="1"/>
  <c r="AG298" i="1"/>
  <c r="AF298" i="1"/>
  <c r="AC298" i="1"/>
  <c r="AB298" i="1"/>
  <c r="Z298" i="1"/>
  <c r="O298" i="1"/>
  <c r="L298" i="1"/>
  <c r="AL298" i="1" s="1"/>
  <c r="K298" i="1"/>
  <c r="J298" i="1"/>
  <c r="BW295" i="1"/>
  <c r="BJ295" i="1"/>
  <c r="BF295" i="1"/>
  <c r="BD295" i="1"/>
  <c r="AW295" i="1"/>
  <c r="AP295" i="1"/>
  <c r="AO295" i="1"/>
  <c r="BH295" i="1" s="1"/>
  <c r="AD295" i="1" s="1"/>
  <c r="AL295" i="1"/>
  <c r="AK295" i="1"/>
  <c r="AJ295" i="1"/>
  <c r="AH295" i="1"/>
  <c r="AG295" i="1"/>
  <c r="AF295" i="1"/>
  <c r="AC295" i="1"/>
  <c r="AB295" i="1"/>
  <c r="Z295" i="1"/>
  <c r="O295" i="1"/>
  <c r="L295" i="1"/>
  <c r="M295" i="1" s="1"/>
  <c r="BW293" i="1"/>
  <c r="BJ293" i="1"/>
  <c r="BF293" i="1"/>
  <c r="BD293" i="1"/>
  <c r="AP293" i="1"/>
  <c r="AO293" i="1"/>
  <c r="AK293" i="1"/>
  <c r="AJ293" i="1"/>
  <c r="AH293" i="1"/>
  <c r="AG293" i="1"/>
  <c r="AF293" i="1"/>
  <c r="AC293" i="1"/>
  <c r="AB293" i="1"/>
  <c r="Z293" i="1"/>
  <c r="O293" i="1"/>
  <c r="L293" i="1"/>
  <c r="AL293" i="1" s="1"/>
  <c r="BW290" i="1"/>
  <c r="M290" i="1" s="1"/>
  <c r="BJ290" i="1"/>
  <c r="BD290" i="1"/>
  <c r="AP290" i="1"/>
  <c r="K290" i="1" s="1"/>
  <c r="AO290" i="1"/>
  <c r="J290" i="1" s="1"/>
  <c r="AL290" i="1"/>
  <c r="AK290" i="1"/>
  <c r="AJ290" i="1"/>
  <c r="AH290" i="1"/>
  <c r="AG290" i="1"/>
  <c r="AF290" i="1"/>
  <c r="AC290" i="1"/>
  <c r="AB290" i="1"/>
  <c r="Z290" i="1"/>
  <c r="O290" i="1"/>
  <c r="BF290" i="1" s="1"/>
  <c r="L290" i="1"/>
  <c r="BW287" i="1"/>
  <c r="BJ287" i="1"/>
  <c r="BF287" i="1"/>
  <c r="BD287" i="1"/>
  <c r="AP287" i="1"/>
  <c r="AO287" i="1"/>
  <c r="AK287" i="1"/>
  <c r="AJ287" i="1"/>
  <c r="AH287" i="1"/>
  <c r="AG287" i="1"/>
  <c r="AF287" i="1"/>
  <c r="AC287" i="1"/>
  <c r="AB287" i="1"/>
  <c r="Z287" i="1"/>
  <c r="O287" i="1"/>
  <c r="L287" i="1"/>
  <c r="AL287" i="1" s="1"/>
  <c r="K287" i="1"/>
  <c r="BW284" i="1"/>
  <c r="BJ284" i="1"/>
  <c r="BI284" i="1"/>
  <c r="AE284" i="1" s="1"/>
  <c r="BH284" i="1"/>
  <c r="AD284" i="1" s="1"/>
  <c r="BD284" i="1"/>
  <c r="AX284" i="1"/>
  <c r="AP284" i="1"/>
  <c r="AO284" i="1"/>
  <c r="AW284" i="1" s="1"/>
  <c r="AV284" i="1" s="1"/>
  <c r="AK284" i="1"/>
  <c r="AJ284" i="1"/>
  <c r="AH284" i="1"/>
  <c r="AG284" i="1"/>
  <c r="AF284" i="1"/>
  <c r="AC284" i="1"/>
  <c r="AB284" i="1"/>
  <c r="Z284" i="1"/>
  <c r="O284" i="1"/>
  <c r="BF284" i="1" s="1"/>
  <c r="L284" i="1"/>
  <c r="AL284" i="1" s="1"/>
  <c r="K284" i="1"/>
  <c r="BW281" i="1"/>
  <c r="BJ281" i="1"/>
  <c r="BF281" i="1"/>
  <c r="BD281" i="1"/>
  <c r="AW281" i="1"/>
  <c r="AP281" i="1"/>
  <c r="AO281" i="1"/>
  <c r="BH281" i="1" s="1"/>
  <c r="AK281" i="1"/>
  <c r="AJ281" i="1"/>
  <c r="AH281" i="1"/>
  <c r="AG281" i="1"/>
  <c r="AF281" i="1"/>
  <c r="AD281" i="1"/>
  <c r="AC281" i="1"/>
  <c r="AB281" i="1"/>
  <c r="Z281" i="1"/>
  <c r="O281" i="1"/>
  <c r="L281" i="1"/>
  <c r="M281" i="1" s="1"/>
  <c r="BW278" i="1"/>
  <c r="BJ278" i="1"/>
  <c r="BF278" i="1"/>
  <c r="BD278" i="1"/>
  <c r="AP278" i="1"/>
  <c r="BI278" i="1" s="1"/>
  <c r="AE278" i="1" s="1"/>
  <c r="AO278" i="1"/>
  <c r="BH278" i="1" s="1"/>
  <c r="AD278" i="1" s="1"/>
  <c r="AK278" i="1"/>
  <c r="AJ278" i="1"/>
  <c r="AH278" i="1"/>
  <c r="AG278" i="1"/>
  <c r="AF278" i="1"/>
  <c r="AC278" i="1"/>
  <c r="AB278" i="1"/>
  <c r="Z278" i="1"/>
  <c r="O278" i="1"/>
  <c r="M278" i="1"/>
  <c r="L278" i="1"/>
  <c r="AL278" i="1" s="1"/>
  <c r="BW275" i="1"/>
  <c r="BJ275" i="1"/>
  <c r="BD275" i="1"/>
  <c r="AP275" i="1"/>
  <c r="K275" i="1" s="1"/>
  <c r="AO275" i="1"/>
  <c r="J275" i="1" s="1"/>
  <c r="AL275" i="1"/>
  <c r="AK275" i="1"/>
  <c r="AJ275" i="1"/>
  <c r="AH275" i="1"/>
  <c r="AG275" i="1"/>
  <c r="AF275" i="1"/>
  <c r="AC275" i="1"/>
  <c r="AB275" i="1"/>
  <c r="Z275" i="1"/>
  <c r="O275" i="1"/>
  <c r="BF275" i="1" s="1"/>
  <c r="L275" i="1"/>
  <c r="BW273" i="1"/>
  <c r="BJ273" i="1"/>
  <c r="BF273" i="1"/>
  <c r="BD273" i="1"/>
  <c r="AP273" i="1"/>
  <c r="AO273" i="1"/>
  <c r="AL273" i="1"/>
  <c r="AK273" i="1"/>
  <c r="AJ273" i="1"/>
  <c r="AH273" i="1"/>
  <c r="AG273" i="1"/>
  <c r="AF273" i="1"/>
  <c r="AC273" i="1"/>
  <c r="AB273" i="1"/>
  <c r="Z273" i="1"/>
  <c r="O273" i="1"/>
  <c r="L273" i="1"/>
  <c r="M273" i="1" s="1"/>
  <c r="BW271" i="1"/>
  <c r="BJ271" i="1"/>
  <c r="BI271" i="1"/>
  <c r="AE271" i="1" s="1"/>
  <c r="BF271" i="1"/>
  <c r="BD271" i="1"/>
  <c r="AX271" i="1"/>
  <c r="AP271" i="1"/>
  <c r="AO271" i="1"/>
  <c r="AW271" i="1" s="1"/>
  <c r="AV271" i="1" s="1"/>
  <c r="AK271" i="1"/>
  <c r="AJ271" i="1"/>
  <c r="AH271" i="1"/>
  <c r="AG271" i="1"/>
  <c r="AF271" i="1"/>
  <c r="AC271" i="1"/>
  <c r="AB271" i="1"/>
  <c r="Z271" i="1"/>
  <c r="O271" i="1"/>
  <c r="L271" i="1"/>
  <c r="AL271" i="1" s="1"/>
  <c r="K271" i="1"/>
  <c r="BW268" i="1"/>
  <c r="BJ268" i="1"/>
  <c r="BF268" i="1"/>
  <c r="BD268" i="1"/>
  <c r="AW268" i="1"/>
  <c r="AP268" i="1"/>
  <c r="AO268" i="1"/>
  <c r="BH268" i="1" s="1"/>
  <c r="AD268" i="1" s="1"/>
  <c r="AK268" i="1"/>
  <c r="AJ268" i="1"/>
  <c r="AH268" i="1"/>
  <c r="AG268" i="1"/>
  <c r="AF268" i="1"/>
  <c r="AC268" i="1"/>
  <c r="AB268" i="1"/>
  <c r="Z268" i="1"/>
  <c r="O268" i="1"/>
  <c r="L268" i="1"/>
  <c r="M268" i="1" s="1"/>
  <c r="BW265" i="1"/>
  <c r="BJ265" i="1"/>
  <c r="BF265" i="1"/>
  <c r="BD265" i="1"/>
  <c r="AW265" i="1"/>
  <c r="AP265" i="1"/>
  <c r="K265" i="1" s="1"/>
  <c r="AO265" i="1"/>
  <c r="BH265" i="1" s="1"/>
  <c r="AD265" i="1" s="1"/>
  <c r="AK265" i="1"/>
  <c r="AJ265" i="1"/>
  <c r="AH265" i="1"/>
  <c r="AG265" i="1"/>
  <c r="AF265" i="1"/>
  <c r="AC265" i="1"/>
  <c r="AB265" i="1"/>
  <c r="Z265" i="1"/>
  <c r="O265" i="1"/>
  <c r="L265" i="1"/>
  <c r="J265" i="1"/>
  <c r="BW263" i="1"/>
  <c r="BJ263" i="1"/>
  <c r="BH263" i="1"/>
  <c r="BD263" i="1"/>
  <c r="AW263" i="1"/>
  <c r="AP263" i="1"/>
  <c r="K263" i="1" s="1"/>
  <c r="AO263" i="1"/>
  <c r="J263" i="1" s="1"/>
  <c r="AK263" i="1"/>
  <c r="AJ263" i="1"/>
  <c r="AH263" i="1"/>
  <c r="AG263" i="1"/>
  <c r="AF263" i="1"/>
  <c r="AD263" i="1"/>
  <c r="AC263" i="1"/>
  <c r="AB263" i="1"/>
  <c r="Z263" i="1"/>
  <c r="O263" i="1"/>
  <c r="BF263" i="1" s="1"/>
  <c r="L263" i="1"/>
  <c r="AL263" i="1" s="1"/>
  <c r="BW254" i="1"/>
  <c r="BJ254" i="1"/>
  <c r="BF254" i="1"/>
  <c r="BD254" i="1"/>
  <c r="AP254" i="1"/>
  <c r="K254" i="1" s="1"/>
  <c r="AO254" i="1"/>
  <c r="AK254" i="1"/>
  <c r="AJ254" i="1"/>
  <c r="AH254" i="1"/>
  <c r="AG254" i="1"/>
  <c r="AF254" i="1"/>
  <c r="AC254" i="1"/>
  <c r="AB254" i="1"/>
  <c r="Z254" i="1"/>
  <c r="O254" i="1"/>
  <c r="L254" i="1"/>
  <c r="M254" i="1" s="1"/>
  <c r="BW252" i="1"/>
  <c r="BJ252" i="1"/>
  <c r="BF252" i="1"/>
  <c r="BD252" i="1"/>
  <c r="AP252" i="1"/>
  <c r="BI252" i="1" s="1"/>
  <c r="AE252" i="1" s="1"/>
  <c r="AO252" i="1"/>
  <c r="AW252" i="1" s="1"/>
  <c r="AK252" i="1"/>
  <c r="AJ252" i="1"/>
  <c r="AH252" i="1"/>
  <c r="AG252" i="1"/>
  <c r="AF252" i="1"/>
  <c r="AC252" i="1"/>
  <c r="AB252" i="1"/>
  <c r="Z252" i="1"/>
  <c r="O252" i="1"/>
  <c r="L252" i="1"/>
  <c r="AL252" i="1" s="1"/>
  <c r="K252" i="1"/>
  <c r="J252" i="1"/>
  <c r="BW249" i="1"/>
  <c r="BJ249" i="1"/>
  <c r="BF249" i="1"/>
  <c r="BD249" i="1"/>
  <c r="AW249" i="1"/>
  <c r="AP249" i="1"/>
  <c r="AO249" i="1"/>
  <c r="BH249" i="1" s="1"/>
  <c r="AD249" i="1" s="1"/>
  <c r="AK249" i="1"/>
  <c r="AJ249" i="1"/>
  <c r="AH249" i="1"/>
  <c r="AG249" i="1"/>
  <c r="AF249" i="1"/>
  <c r="AC249" i="1"/>
  <c r="AB249" i="1"/>
  <c r="Z249" i="1"/>
  <c r="O249" i="1"/>
  <c r="L249" i="1"/>
  <c r="M249" i="1" s="1"/>
  <c r="BW246" i="1"/>
  <c r="BJ246" i="1"/>
  <c r="BF246" i="1"/>
  <c r="BD246" i="1"/>
  <c r="AP246" i="1"/>
  <c r="AO246" i="1"/>
  <c r="AW246" i="1" s="1"/>
  <c r="AK246" i="1"/>
  <c r="AJ246" i="1"/>
  <c r="AH246" i="1"/>
  <c r="AG246" i="1"/>
  <c r="AF246" i="1"/>
  <c r="AC246" i="1"/>
  <c r="AB246" i="1"/>
  <c r="Z246" i="1"/>
  <c r="O246" i="1"/>
  <c r="M246" i="1"/>
  <c r="L246" i="1"/>
  <c r="AL246" i="1" s="1"/>
  <c r="BW243" i="1"/>
  <c r="BJ243" i="1"/>
  <c r="BI243" i="1"/>
  <c r="AE243" i="1" s="1"/>
  <c r="BH243" i="1"/>
  <c r="AD243" i="1" s="1"/>
  <c r="BD243" i="1"/>
  <c r="AW243" i="1"/>
  <c r="AP243" i="1"/>
  <c r="AO243" i="1"/>
  <c r="J243" i="1" s="1"/>
  <c r="AK243" i="1"/>
  <c r="AJ243" i="1"/>
  <c r="AH243" i="1"/>
  <c r="AG243" i="1"/>
  <c r="AF243" i="1"/>
  <c r="AC243" i="1"/>
  <c r="AB243" i="1"/>
  <c r="Z243" i="1"/>
  <c r="O243" i="1"/>
  <c r="BF243" i="1" s="1"/>
  <c r="L243" i="1"/>
  <c r="AL243" i="1" s="1"/>
  <c r="BW242" i="1"/>
  <c r="BJ242" i="1"/>
  <c r="BI242" i="1"/>
  <c r="AE242" i="1" s="1"/>
  <c r="BF242" i="1"/>
  <c r="BD242" i="1"/>
  <c r="AX242" i="1"/>
  <c r="AP242" i="1"/>
  <c r="K242" i="1" s="1"/>
  <c r="AO242" i="1"/>
  <c r="BH242" i="1" s="1"/>
  <c r="AD242" i="1" s="1"/>
  <c r="AK242" i="1"/>
  <c r="AJ242" i="1"/>
  <c r="AH242" i="1"/>
  <c r="AG242" i="1"/>
  <c r="AF242" i="1"/>
  <c r="AC242" i="1"/>
  <c r="AB242" i="1"/>
  <c r="Z242" i="1"/>
  <c r="O242" i="1"/>
  <c r="L242" i="1"/>
  <c r="AL242" i="1" s="1"/>
  <c r="BW241" i="1"/>
  <c r="M241" i="1" s="1"/>
  <c r="BJ241" i="1"/>
  <c r="BH241" i="1"/>
  <c r="BD241" i="1"/>
  <c r="AX241" i="1"/>
  <c r="BC241" i="1" s="1"/>
  <c r="AP241" i="1"/>
  <c r="BI241" i="1" s="1"/>
  <c r="AE241" i="1" s="1"/>
  <c r="AO241" i="1"/>
  <c r="AW241" i="1" s="1"/>
  <c r="AK241" i="1"/>
  <c r="AJ241" i="1"/>
  <c r="AH241" i="1"/>
  <c r="AG241" i="1"/>
  <c r="AF241" i="1"/>
  <c r="AD241" i="1"/>
  <c r="AC241" i="1"/>
  <c r="AB241" i="1"/>
  <c r="Z241" i="1"/>
  <c r="O241" i="1"/>
  <c r="BF241" i="1" s="1"/>
  <c r="L241" i="1"/>
  <c r="AL241" i="1" s="1"/>
  <c r="J241" i="1"/>
  <c r="BW238" i="1"/>
  <c r="BJ238" i="1"/>
  <c r="BF238" i="1"/>
  <c r="BD238" i="1"/>
  <c r="AW238" i="1"/>
  <c r="AP238" i="1"/>
  <c r="AO238" i="1"/>
  <c r="AL238" i="1"/>
  <c r="AK238" i="1"/>
  <c r="AJ238" i="1"/>
  <c r="AH238" i="1"/>
  <c r="AG238" i="1"/>
  <c r="AF238" i="1"/>
  <c r="AC238" i="1"/>
  <c r="AB238" i="1"/>
  <c r="Z238" i="1"/>
  <c r="O238" i="1"/>
  <c r="L238" i="1"/>
  <c r="M238" i="1" s="1"/>
  <c r="BW232" i="1"/>
  <c r="BJ232" i="1"/>
  <c r="BI232" i="1"/>
  <c r="AE232" i="1" s="1"/>
  <c r="BH232" i="1"/>
  <c r="AD232" i="1" s="1"/>
  <c r="BD232" i="1"/>
  <c r="AX232" i="1"/>
  <c r="AW232" i="1"/>
  <c r="AP232" i="1"/>
  <c r="AO232" i="1"/>
  <c r="AK232" i="1"/>
  <c r="AJ232" i="1"/>
  <c r="AH232" i="1"/>
  <c r="AG232" i="1"/>
  <c r="AF232" i="1"/>
  <c r="AC232" i="1"/>
  <c r="AB232" i="1"/>
  <c r="Z232" i="1"/>
  <c r="O232" i="1"/>
  <c r="BF232" i="1" s="1"/>
  <c r="L232" i="1"/>
  <c r="AL232" i="1" s="1"/>
  <c r="K232" i="1"/>
  <c r="J232" i="1"/>
  <c r="BW225" i="1"/>
  <c r="M225" i="1" s="1"/>
  <c r="BJ225" i="1"/>
  <c r="BI225" i="1"/>
  <c r="AE225" i="1" s="1"/>
  <c r="BH225" i="1"/>
  <c r="AD225" i="1" s="1"/>
  <c r="BD225" i="1"/>
  <c r="AW225" i="1"/>
  <c r="AP225" i="1"/>
  <c r="AO225" i="1"/>
  <c r="J225" i="1" s="1"/>
  <c r="AL225" i="1"/>
  <c r="AK225" i="1"/>
  <c r="AJ225" i="1"/>
  <c r="AH225" i="1"/>
  <c r="AG225" i="1"/>
  <c r="AF225" i="1"/>
  <c r="AC225" i="1"/>
  <c r="AB225" i="1"/>
  <c r="Z225" i="1"/>
  <c r="O225" i="1"/>
  <c r="BF225" i="1" s="1"/>
  <c r="L225" i="1"/>
  <c r="BW222" i="1"/>
  <c r="BJ222" i="1"/>
  <c r="BI222" i="1"/>
  <c r="AE222" i="1" s="1"/>
  <c r="BF222" i="1"/>
  <c r="BD222" i="1"/>
  <c r="AP222" i="1"/>
  <c r="AX222" i="1" s="1"/>
  <c r="AO222" i="1"/>
  <c r="BH222" i="1" s="1"/>
  <c r="AD222" i="1" s="1"/>
  <c r="AK222" i="1"/>
  <c r="AJ222" i="1"/>
  <c r="AH222" i="1"/>
  <c r="AG222" i="1"/>
  <c r="AF222" i="1"/>
  <c r="AC222" i="1"/>
  <c r="AB222" i="1"/>
  <c r="Z222" i="1"/>
  <c r="O222" i="1"/>
  <c r="L222" i="1"/>
  <c r="AL222" i="1" s="1"/>
  <c r="K222" i="1"/>
  <c r="BW219" i="1"/>
  <c r="BJ219" i="1"/>
  <c r="BI219" i="1"/>
  <c r="AE219" i="1" s="1"/>
  <c r="BH219" i="1"/>
  <c r="AD219" i="1" s="1"/>
  <c r="BF219" i="1"/>
  <c r="BD219" i="1"/>
  <c r="AX219" i="1"/>
  <c r="AP219" i="1"/>
  <c r="AO219" i="1"/>
  <c r="AW219" i="1" s="1"/>
  <c r="AV219" i="1" s="1"/>
  <c r="AL219" i="1"/>
  <c r="AK219" i="1"/>
  <c r="AJ219" i="1"/>
  <c r="AH219" i="1"/>
  <c r="AG219" i="1"/>
  <c r="AF219" i="1"/>
  <c r="AC219" i="1"/>
  <c r="AB219" i="1"/>
  <c r="Z219" i="1"/>
  <c r="O219" i="1"/>
  <c r="L219" i="1"/>
  <c r="M219" i="1" s="1"/>
  <c r="K219" i="1"/>
  <c r="BW216" i="1"/>
  <c r="BJ216" i="1"/>
  <c r="BF216" i="1"/>
  <c r="BD216" i="1"/>
  <c r="AP216" i="1"/>
  <c r="AO216" i="1"/>
  <c r="AL216" i="1"/>
  <c r="AK216" i="1"/>
  <c r="AJ216" i="1"/>
  <c r="AH216" i="1"/>
  <c r="AG216" i="1"/>
  <c r="AF216" i="1"/>
  <c r="AC216" i="1"/>
  <c r="AB216" i="1"/>
  <c r="Z216" i="1"/>
  <c r="O216" i="1"/>
  <c r="L216" i="1"/>
  <c r="M216" i="1" s="1"/>
  <c r="BW212" i="1"/>
  <c r="BJ212" i="1"/>
  <c r="BI212" i="1"/>
  <c r="AE212" i="1" s="1"/>
  <c r="BH212" i="1"/>
  <c r="AD212" i="1" s="1"/>
  <c r="BF212" i="1"/>
  <c r="BD212" i="1"/>
  <c r="AX212" i="1"/>
  <c r="AP212" i="1"/>
  <c r="AO212" i="1"/>
  <c r="J212" i="1" s="1"/>
  <c r="AK212" i="1"/>
  <c r="AJ212" i="1"/>
  <c r="AH212" i="1"/>
  <c r="AG212" i="1"/>
  <c r="AF212" i="1"/>
  <c r="AC212" i="1"/>
  <c r="AB212" i="1"/>
  <c r="Z212" i="1"/>
  <c r="O212" i="1"/>
  <c r="L212" i="1"/>
  <c r="AL212" i="1" s="1"/>
  <c r="K212" i="1"/>
  <c r="BW211" i="1"/>
  <c r="M211" i="1" s="1"/>
  <c r="BJ211" i="1"/>
  <c r="BD211" i="1"/>
  <c r="AP211" i="1"/>
  <c r="AO211" i="1"/>
  <c r="J211" i="1" s="1"/>
  <c r="AL211" i="1"/>
  <c r="AK211" i="1"/>
  <c r="AJ211" i="1"/>
  <c r="AH211" i="1"/>
  <c r="AG211" i="1"/>
  <c r="AF211" i="1"/>
  <c r="AC211" i="1"/>
  <c r="AB211" i="1"/>
  <c r="Z211" i="1"/>
  <c r="O211" i="1"/>
  <c r="BF211" i="1" s="1"/>
  <c r="L211" i="1"/>
  <c r="BW209" i="1"/>
  <c r="BJ209" i="1"/>
  <c r="BF209" i="1"/>
  <c r="BD209" i="1"/>
  <c r="AP209" i="1"/>
  <c r="BI209" i="1" s="1"/>
  <c r="AE209" i="1" s="1"/>
  <c r="AO209" i="1"/>
  <c r="BH209" i="1" s="1"/>
  <c r="AD209" i="1" s="1"/>
  <c r="AK209" i="1"/>
  <c r="AJ209" i="1"/>
  <c r="AH209" i="1"/>
  <c r="AG209" i="1"/>
  <c r="AF209" i="1"/>
  <c r="AC209" i="1"/>
  <c r="AB209" i="1"/>
  <c r="Z209" i="1"/>
  <c r="O209" i="1"/>
  <c r="L209" i="1"/>
  <c r="AL209" i="1" s="1"/>
  <c r="BW207" i="1"/>
  <c r="BJ207" i="1"/>
  <c r="BI207" i="1"/>
  <c r="AE207" i="1" s="1"/>
  <c r="BH207" i="1"/>
  <c r="AD207" i="1" s="1"/>
  <c r="BF207" i="1"/>
  <c r="BD207" i="1"/>
  <c r="AX207" i="1"/>
  <c r="AP207" i="1"/>
  <c r="AO207" i="1"/>
  <c r="AW207" i="1" s="1"/>
  <c r="AK207" i="1"/>
  <c r="AJ207" i="1"/>
  <c r="AH207" i="1"/>
  <c r="AG207" i="1"/>
  <c r="AF207" i="1"/>
  <c r="AC207" i="1"/>
  <c r="AB207" i="1"/>
  <c r="Z207" i="1"/>
  <c r="O207" i="1"/>
  <c r="L207" i="1"/>
  <c r="M207" i="1" s="1"/>
  <c r="K207" i="1"/>
  <c r="J207" i="1"/>
  <c r="BW205" i="1"/>
  <c r="BJ205" i="1"/>
  <c r="BF205" i="1"/>
  <c r="BD205" i="1"/>
  <c r="AX205" i="1"/>
  <c r="AW205" i="1"/>
  <c r="AP205" i="1"/>
  <c r="BI205" i="1" s="1"/>
  <c r="AE205" i="1" s="1"/>
  <c r="AO205" i="1"/>
  <c r="BH205" i="1" s="1"/>
  <c r="AK205" i="1"/>
  <c r="AJ205" i="1"/>
  <c r="AH205" i="1"/>
  <c r="AG205" i="1"/>
  <c r="AF205" i="1"/>
  <c r="AD205" i="1"/>
  <c r="AC205" i="1"/>
  <c r="AB205" i="1"/>
  <c r="Z205" i="1"/>
  <c r="O205" i="1"/>
  <c r="L205" i="1"/>
  <c r="K205" i="1"/>
  <c r="J205" i="1"/>
  <c r="BW204" i="1"/>
  <c r="M204" i="1" s="1"/>
  <c r="BJ204" i="1"/>
  <c r="BD204" i="1"/>
  <c r="AW204" i="1"/>
  <c r="AP204" i="1"/>
  <c r="BI204" i="1" s="1"/>
  <c r="AE204" i="1" s="1"/>
  <c r="AO204" i="1"/>
  <c r="BH204" i="1" s="1"/>
  <c r="AD204" i="1" s="1"/>
  <c r="AK204" i="1"/>
  <c r="AJ204" i="1"/>
  <c r="AH204" i="1"/>
  <c r="AG204" i="1"/>
  <c r="AF204" i="1"/>
  <c r="AC204" i="1"/>
  <c r="AB204" i="1"/>
  <c r="Z204" i="1"/>
  <c r="O204" i="1"/>
  <c r="BF204" i="1" s="1"/>
  <c r="L204" i="1"/>
  <c r="AL204" i="1" s="1"/>
  <c r="BW202" i="1"/>
  <c r="BJ202" i="1"/>
  <c r="BD202" i="1"/>
  <c r="AP202" i="1"/>
  <c r="AO202" i="1"/>
  <c r="J202" i="1" s="1"/>
  <c r="AK202" i="1"/>
  <c r="AJ202" i="1"/>
  <c r="AH202" i="1"/>
  <c r="AG202" i="1"/>
  <c r="AF202" i="1"/>
  <c r="AC202" i="1"/>
  <c r="AB202" i="1"/>
  <c r="Z202" i="1"/>
  <c r="O202" i="1"/>
  <c r="BF202" i="1" s="1"/>
  <c r="L202" i="1"/>
  <c r="AL202" i="1" s="1"/>
  <c r="BW200" i="1"/>
  <c r="BJ200" i="1"/>
  <c r="BF200" i="1"/>
  <c r="BD200" i="1"/>
  <c r="AP200" i="1"/>
  <c r="AO200" i="1"/>
  <c r="BH200" i="1" s="1"/>
  <c r="AD200" i="1" s="1"/>
  <c r="AK200" i="1"/>
  <c r="AJ200" i="1"/>
  <c r="AH200" i="1"/>
  <c r="AG200" i="1"/>
  <c r="AF200" i="1"/>
  <c r="AC200" i="1"/>
  <c r="AB200" i="1"/>
  <c r="Z200" i="1"/>
  <c r="O200" i="1"/>
  <c r="M200" i="1"/>
  <c r="L200" i="1"/>
  <c r="AL200" i="1" s="1"/>
  <c r="J200" i="1"/>
  <c r="BW193" i="1"/>
  <c r="BJ193" i="1"/>
  <c r="BD193" i="1"/>
  <c r="AP193" i="1"/>
  <c r="BI193" i="1" s="1"/>
  <c r="AE193" i="1" s="1"/>
  <c r="AO193" i="1"/>
  <c r="AW193" i="1" s="1"/>
  <c r="AK193" i="1"/>
  <c r="AJ193" i="1"/>
  <c r="AH193" i="1"/>
  <c r="AG193" i="1"/>
  <c r="AF193" i="1"/>
  <c r="AC193" i="1"/>
  <c r="AB193" i="1"/>
  <c r="Z193" i="1"/>
  <c r="O193" i="1"/>
  <c r="L193" i="1"/>
  <c r="K193" i="1"/>
  <c r="J193" i="1"/>
  <c r="BW191" i="1"/>
  <c r="M191" i="1" s="1"/>
  <c r="BJ191" i="1"/>
  <c r="BF191" i="1"/>
  <c r="BD191" i="1"/>
  <c r="AP191" i="1"/>
  <c r="AO191" i="1"/>
  <c r="AK191" i="1"/>
  <c r="AJ191" i="1"/>
  <c r="AH191" i="1"/>
  <c r="AG191" i="1"/>
  <c r="AF191" i="1"/>
  <c r="AE191" i="1"/>
  <c r="AD191" i="1"/>
  <c r="AC191" i="1"/>
  <c r="AB191" i="1"/>
  <c r="Z191" i="1"/>
  <c r="O191" i="1"/>
  <c r="L191" i="1"/>
  <c r="AL191" i="1" s="1"/>
  <c r="BW188" i="1"/>
  <c r="BJ188" i="1"/>
  <c r="BI188" i="1"/>
  <c r="AE188" i="1" s="1"/>
  <c r="BD188" i="1"/>
  <c r="AX188" i="1"/>
  <c r="AP188" i="1"/>
  <c r="AO188" i="1"/>
  <c r="J188" i="1" s="1"/>
  <c r="AK188" i="1"/>
  <c r="AT183" i="1" s="1"/>
  <c r="AJ188" i="1"/>
  <c r="AH188" i="1"/>
  <c r="AG188" i="1"/>
  <c r="AF188" i="1"/>
  <c r="AC188" i="1"/>
  <c r="AB188" i="1"/>
  <c r="Z188" i="1"/>
  <c r="O188" i="1"/>
  <c r="O183" i="1" s="1"/>
  <c r="L188" i="1"/>
  <c r="AL188" i="1" s="1"/>
  <c r="K188" i="1"/>
  <c r="BW184" i="1"/>
  <c r="BJ184" i="1"/>
  <c r="BF184" i="1"/>
  <c r="BD184" i="1"/>
  <c r="AP184" i="1"/>
  <c r="BI184" i="1" s="1"/>
  <c r="AE184" i="1" s="1"/>
  <c r="AO184" i="1"/>
  <c r="BH184" i="1" s="1"/>
  <c r="AD184" i="1" s="1"/>
  <c r="AK184" i="1"/>
  <c r="AJ184" i="1"/>
  <c r="AH184" i="1"/>
  <c r="AG184" i="1"/>
  <c r="AF184" i="1"/>
  <c r="AC184" i="1"/>
  <c r="AB184" i="1"/>
  <c r="Z184" i="1"/>
  <c r="O184" i="1"/>
  <c r="L184" i="1"/>
  <c r="M184" i="1" s="1"/>
  <c r="BW181" i="1"/>
  <c r="BJ181" i="1"/>
  <c r="BF181" i="1"/>
  <c r="BD181" i="1"/>
  <c r="AP181" i="1"/>
  <c r="BI181" i="1" s="1"/>
  <c r="AC181" i="1" s="1"/>
  <c r="AO181" i="1"/>
  <c r="BH181" i="1" s="1"/>
  <c r="AB181" i="1" s="1"/>
  <c r="AK181" i="1"/>
  <c r="AT178" i="1" s="1"/>
  <c r="AJ181" i="1"/>
  <c r="AH181" i="1"/>
  <c r="AG181" i="1"/>
  <c r="AF181" i="1"/>
  <c r="AE181" i="1"/>
  <c r="AD181" i="1"/>
  <c r="Z181" i="1"/>
  <c r="O181" i="1"/>
  <c r="L181" i="1"/>
  <c r="M181" i="1" s="1"/>
  <c r="BW179" i="1"/>
  <c r="BJ179" i="1"/>
  <c r="BI179" i="1"/>
  <c r="AC179" i="1" s="1"/>
  <c r="BF179" i="1"/>
  <c r="BD179" i="1"/>
  <c r="AX179" i="1"/>
  <c r="AP179" i="1"/>
  <c r="K179" i="1" s="1"/>
  <c r="AO179" i="1"/>
  <c r="AK179" i="1"/>
  <c r="AJ179" i="1"/>
  <c r="AS178" i="1" s="1"/>
  <c r="AH179" i="1"/>
  <c r="AG179" i="1"/>
  <c r="AF179" i="1"/>
  <c r="AE179" i="1"/>
  <c r="AD179" i="1"/>
  <c r="Z179" i="1"/>
  <c r="O179" i="1"/>
  <c r="L179" i="1"/>
  <c r="O178" i="1"/>
  <c r="BW176" i="1"/>
  <c r="BJ176" i="1"/>
  <c r="BD176" i="1"/>
  <c r="AX176" i="1"/>
  <c r="AP176" i="1"/>
  <c r="BI176" i="1" s="1"/>
  <c r="AC176" i="1" s="1"/>
  <c r="AO176" i="1"/>
  <c r="BH176" i="1" s="1"/>
  <c r="AB176" i="1" s="1"/>
  <c r="AL176" i="1"/>
  <c r="AK176" i="1"/>
  <c r="AJ176" i="1"/>
  <c r="AH176" i="1"/>
  <c r="AG176" i="1"/>
  <c r="AF176" i="1"/>
  <c r="AE176" i="1"/>
  <c r="AD176" i="1"/>
  <c r="Z176" i="1"/>
  <c r="O176" i="1"/>
  <c r="BF176" i="1" s="1"/>
  <c r="L176" i="1"/>
  <c r="M176" i="1" s="1"/>
  <c r="J176" i="1"/>
  <c r="BW174" i="1"/>
  <c r="BJ174" i="1"/>
  <c r="BF174" i="1"/>
  <c r="BD174" i="1"/>
  <c r="AP174" i="1"/>
  <c r="AO174" i="1"/>
  <c r="BH174" i="1" s="1"/>
  <c r="AB174" i="1" s="1"/>
  <c r="AL174" i="1"/>
  <c r="AK174" i="1"/>
  <c r="AJ174" i="1"/>
  <c r="AH174" i="1"/>
  <c r="AG174" i="1"/>
  <c r="AF174" i="1"/>
  <c r="AE174" i="1"/>
  <c r="AD174" i="1"/>
  <c r="Z174" i="1"/>
  <c r="O174" i="1"/>
  <c r="L174" i="1"/>
  <c r="M174" i="1" s="1"/>
  <c r="BW172" i="1"/>
  <c r="BJ172" i="1"/>
  <c r="BD172" i="1"/>
  <c r="AP172" i="1"/>
  <c r="K172" i="1" s="1"/>
  <c r="AO172" i="1"/>
  <c r="AW172" i="1" s="1"/>
  <c r="AK172" i="1"/>
  <c r="AJ172" i="1"/>
  <c r="AH172" i="1"/>
  <c r="AG172" i="1"/>
  <c r="AF172" i="1"/>
  <c r="AE172" i="1"/>
  <c r="AD172" i="1"/>
  <c r="Z172" i="1"/>
  <c r="O172" i="1"/>
  <c r="O167" i="1" s="1"/>
  <c r="M172" i="1"/>
  <c r="L172" i="1"/>
  <c r="AL172" i="1" s="1"/>
  <c r="BW168" i="1"/>
  <c r="BJ168" i="1"/>
  <c r="BF168" i="1"/>
  <c r="BD168" i="1"/>
  <c r="AP168" i="1"/>
  <c r="BI168" i="1" s="1"/>
  <c r="AC168" i="1" s="1"/>
  <c r="AO168" i="1"/>
  <c r="BH168" i="1" s="1"/>
  <c r="AB168" i="1" s="1"/>
  <c r="AK168" i="1"/>
  <c r="AT167" i="1" s="1"/>
  <c r="AJ168" i="1"/>
  <c r="AH168" i="1"/>
  <c r="AG168" i="1"/>
  <c r="AF168" i="1"/>
  <c r="AE168" i="1"/>
  <c r="AD168" i="1"/>
  <c r="Z168" i="1"/>
  <c r="O168" i="1"/>
  <c r="L168" i="1"/>
  <c r="AL168" i="1" s="1"/>
  <c r="BW165" i="1"/>
  <c r="BJ165" i="1"/>
  <c r="BI165" i="1"/>
  <c r="BF165" i="1"/>
  <c r="BD165" i="1"/>
  <c r="AP165" i="1"/>
  <c r="K165" i="1" s="1"/>
  <c r="AO165" i="1"/>
  <c r="BH165" i="1" s="1"/>
  <c r="AB165" i="1" s="1"/>
  <c r="AK165" i="1"/>
  <c r="AJ165" i="1"/>
  <c r="AH165" i="1"/>
  <c r="AG165" i="1"/>
  <c r="AF165" i="1"/>
  <c r="AE165" i="1"/>
  <c r="AD165" i="1"/>
  <c r="AC165" i="1"/>
  <c r="Z165" i="1"/>
  <c r="O165" i="1"/>
  <c r="L165" i="1"/>
  <c r="BW163" i="1"/>
  <c r="BJ163" i="1"/>
  <c r="BD163" i="1"/>
  <c r="AW163" i="1"/>
  <c r="AP163" i="1"/>
  <c r="AO163" i="1"/>
  <c r="BH163" i="1" s="1"/>
  <c r="AB163" i="1" s="1"/>
  <c r="AK163" i="1"/>
  <c r="AT155" i="1" s="1"/>
  <c r="AJ163" i="1"/>
  <c r="AH163" i="1"/>
  <c r="AG163" i="1"/>
  <c r="AF163" i="1"/>
  <c r="AE163" i="1"/>
  <c r="AD163" i="1"/>
  <c r="Z163" i="1"/>
  <c r="O163" i="1"/>
  <c r="BF163" i="1" s="1"/>
  <c r="L163" i="1"/>
  <c r="M163" i="1" s="1"/>
  <c r="BW161" i="1"/>
  <c r="BJ161" i="1"/>
  <c r="BF161" i="1"/>
  <c r="BD161" i="1"/>
  <c r="AP161" i="1"/>
  <c r="K161" i="1" s="1"/>
  <c r="AO161" i="1"/>
  <c r="AW161" i="1" s="1"/>
  <c r="AK161" i="1"/>
  <c r="AJ161" i="1"/>
  <c r="AH161" i="1"/>
  <c r="AG161" i="1"/>
  <c r="AF161" i="1"/>
  <c r="AE161" i="1"/>
  <c r="AD161" i="1"/>
  <c r="Z161" i="1"/>
  <c r="O161" i="1"/>
  <c r="O155" i="1" s="1"/>
  <c r="L161" i="1"/>
  <c r="J161" i="1"/>
  <c r="BW159" i="1"/>
  <c r="M159" i="1" s="1"/>
  <c r="BJ159" i="1"/>
  <c r="BD159" i="1"/>
  <c r="AP159" i="1"/>
  <c r="BI159" i="1" s="1"/>
  <c r="AO159" i="1"/>
  <c r="BH159" i="1" s="1"/>
  <c r="AB159" i="1" s="1"/>
  <c r="AK159" i="1"/>
  <c r="AJ159" i="1"/>
  <c r="AH159" i="1"/>
  <c r="AG159" i="1"/>
  <c r="AF159" i="1"/>
  <c r="AE159" i="1"/>
  <c r="AD159" i="1"/>
  <c r="AC159" i="1"/>
  <c r="Z159" i="1"/>
  <c r="O159" i="1"/>
  <c r="BF159" i="1" s="1"/>
  <c r="L159" i="1"/>
  <c r="AL159" i="1" s="1"/>
  <c r="BW156" i="1"/>
  <c r="M156" i="1" s="1"/>
  <c r="BJ156" i="1"/>
  <c r="BD156" i="1"/>
  <c r="AP156" i="1"/>
  <c r="AO156" i="1"/>
  <c r="AL156" i="1"/>
  <c r="AK156" i="1"/>
  <c r="AJ156" i="1"/>
  <c r="AS155" i="1" s="1"/>
  <c r="AH156" i="1"/>
  <c r="AG156" i="1"/>
  <c r="AF156" i="1"/>
  <c r="AE156" i="1"/>
  <c r="AD156" i="1"/>
  <c r="Z156" i="1"/>
  <c r="O156" i="1"/>
  <c r="BF156" i="1" s="1"/>
  <c r="L156" i="1"/>
  <c r="J156" i="1"/>
  <c r="BW151" i="1"/>
  <c r="BJ151" i="1"/>
  <c r="BF151" i="1"/>
  <c r="BD151" i="1"/>
  <c r="AP151" i="1"/>
  <c r="BI151" i="1" s="1"/>
  <c r="AC151" i="1" s="1"/>
  <c r="AO151" i="1"/>
  <c r="BH151" i="1" s="1"/>
  <c r="AB151" i="1" s="1"/>
  <c r="AL151" i="1"/>
  <c r="AK151" i="1"/>
  <c r="AJ151" i="1"/>
  <c r="AH151" i="1"/>
  <c r="AG151" i="1"/>
  <c r="AF151" i="1"/>
  <c r="AE151" i="1"/>
  <c r="AD151" i="1"/>
  <c r="Z151" i="1"/>
  <c r="O151" i="1"/>
  <c r="L151" i="1"/>
  <c r="M151" i="1" s="1"/>
  <c r="BW149" i="1"/>
  <c r="BJ149" i="1"/>
  <c r="BI149" i="1"/>
  <c r="AC149" i="1" s="1"/>
  <c r="BH149" i="1"/>
  <c r="AB149" i="1" s="1"/>
  <c r="BF149" i="1"/>
  <c r="BD149" i="1"/>
  <c r="AX149" i="1"/>
  <c r="AW149" i="1"/>
  <c r="AV149" i="1" s="1"/>
  <c r="AP149" i="1"/>
  <c r="AO149" i="1"/>
  <c r="AK149" i="1"/>
  <c r="AJ149" i="1"/>
  <c r="AH149" i="1"/>
  <c r="AG149" i="1"/>
  <c r="AF149" i="1"/>
  <c r="AE149" i="1"/>
  <c r="AD149" i="1"/>
  <c r="Z149" i="1"/>
  <c r="O149" i="1"/>
  <c r="M149" i="1"/>
  <c r="L149" i="1"/>
  <c r="AL149" i="1" s="1"/>
  <c r="K149" i="1"/>
  <c r="J149" i="1"/>
  <c r="BW147" i="1"/>
  <c r="M147" i="1" s="1"/>
  <c r="BJ147" i="1"/>
  <c r="BF147" i="1"/>
  <c r="BD147" i="1"/>
  <c r="AP147" i="1"/>
  <c r="BI147" i="1" s="1"/>
  <c r="AO147" i="1"/>
  <c r="BH147" i="1" s="1"/>
  <c r="AB147" i="1" s="1"/>
  <c r="AK147" i="1"/>
  <c r="AJ147" i="1"/>
  <c r="AH147" i="1"/>
  <c r="AG147" i="1"/>
  <c r="AF147" i="1"/>
  <c r="AE147" i="1"/>
  <c r="AD147" i="1"/>
  <c r="AC147" i="1"/>
  <c r="Z147" i="1"/>
  <c r="O147" i="1"/>
  <c r="L147" i="1"/>
  <c r="AL147" i="1" s="1"/>
  <c r="BW145" i="1"/>
  <c r="BJ145" i="1"/>
  <c r="BF145" i="1"/>
  <c r="BD145" i="1"/>
  <c r="AW145" i="1"/>
  <c r="AP145" i="1"/>
  <c r="AO145" i="1"/>
  <c r="AK145" i="1"/>
  <c r="AJ145" i="1"/>
  <c r="AH145" i="1"/>
  <c r="AG145" i="1"/>
  <c r="AF145" i="1"/>
  <c r="AE145" i="1"/>
  <c r="AD145" i="1"/>
  <c r="Z145" i="1"/>
  <c r="O145" i="1"/>
  <c r="M145" i="1"/>
  <c r="L145" i="1"/>
  <c r="AL145" i="1" s="1"/>
  <c r="K145" i="1"/>
  <c r="BW142" i="1"/>
  <c r="M142" i="1" s="1"/>
  <c r="BJ142" i="1"/>
  <c r="BI142" i="1"/>
  <c r="AC142" i="1" s="1"/>
  <c r="BH142" i="1"/>
  <c r="AB142" i="1" s="1"/>
  <c r="BD142" i="1"/>
  <c r="AX142" i="1"/>
  <c r="AP142" i="1"/>
  <c r="AO142" i="1"/>
  <c r="J142" i="1" s="1"/>
  <c r="AK142" i="1"/>
  <c r="AT133" i="1" s="1"/>
  <c r="AJ142" i="1"/>
  <c r="AH142" i="1"/>
  <c r="AG142" i="1"/>
  <c r="AF142" i="1"/>
  <c r="AE142" i="1"/>
  <c r="AD142" i="1"/>
  <c r="Z142" i="1"/>
  <c r="O142" i="1"/>
  <c r="BF142" i="1" s="1"/>
  <c r="L142" i="1"/>
  <c r="AL142" i="1" s="1"/>
  <c r="K142" i="1"/>
  <c r="BW138" i="1"/>
  <c r="BJ138" i="1"/>
  <c r="BF138" i="1"/>
  <c r="BD138" i="1"/>
  <c r="AP138" i="1"/>
  <c r="AO138" i="1"/>
  <c r="BH138" i="1" s="1"/>
  <c r="AB138" i="1" s="1"/>
  <c r="AL138" i="1"/>
  <c r="AK138" i="1"/>
  <c r="AJ138" i="1"/>
  <c r="AH138" i="1"/>
  <c r="AG138" i="1"/>
  <c r="AF138" i="1"/>
  <c r="AE138" i="1"/>
  <c r="AD138" i="1"/>
  <c r="Z138" i="1"/>
  <c r="O138" i="1"/>
  <c r="L138" i="1"/>
  <c r="M138" i="1" s="1"/>
  <c r="BW134" i="1"/>
  <c r="BJ134" i="1"/>
  <c r="BI134" i="1"/>
  <c r="AC134" i="1" s="1"/>
  <c r="BH134" i="1"/>
  <c r="AB134" i="1" s="1"/>
  <c r="BF134" i="1"/>
  <c r="BD134" i="1"/>
  <c r="AP134" i="1"/>
  <c r="AX134" i="1" s="1"/>
  <c r="AO134" i="1"/>
  <c r="AW134" i="1" s="1"/>
  <c r="AK134" i="1"/>
  <c r="AJ134" i="1"/>
  <c r="AH134" i="1"/>
  <c r="AG134" i="1"/>
  <c r="AF134" i="1"/>
  <c r="AE134" i="1"/>
  <c r="AD134" i="1"/>
  <c r="Z134" i="1"/>
  <c r="O134" i="1"/>
  <c r="M134" i="1"/>
  <c r="L134" i="1"/>
  <c r="AL134" i="1" s="1"/>
  <c r="K134" i="1"/>
  <c r="J134" i="1"/>
  <c r="BW131" i="1"/>
  <c r="BJ131" i="1"/>
  <c r="BF131" i="1"/>
  <c r="BD131" i="1"/>
  <c r="AW131" i="1"/>
  <c r="AP131" i="1"/>
  <c r="AO131" i="1"/>
  <c r="AL131" i="1"/>
  <c r="AU130" i="1" s="1"/>
  <c r="AK131" i="1"/>
  <c r="AT130" i="1" s="1"/>
  <c r="AJ131" i="1"/>
  <c r="AH131" i="1"/>
  <c r="AG131" i="1"/>
  <c r="AF131" i="1"/>
  <c r="AE131" i="1"/>
  <c r="AD131" i="1"/>
  <c r="Z131" i="1"/>
  <c r="O131" i="1"/>
  <c r="M131" i="1"/>
  <c r="M130" i="1" s="1"/>
  <c r="L131" i="1"/>
  <c r="L130" i="1" s="1"/>
  <c r="AS130" i="1"/>
  <c r="O130" i="1"/>
  <c r="BW129" i="1"/>
  <c r="BJ129" i="1"/>
  <c r="BD129" i="1"/>
  <c r="AP129" i="1"/>
  <c r="AO129" i="1"/>
  <c r="BH129" i="1" s="1"/>
  <c r="AB129" i="1" s="1"/>
  <c r="AK129" i="1"/>
  <c r="AJ129" i="1"/>
  <c r="AH129" i="1"/>
  <c r="AG129" i="1"/>
  <c r="AF129" i="1"/>
  <c r="AE129" i="1"/>
  <c r="AD129" i="1"/>
  <c r="Z129" i="1"/>
  <c r="O129" i="1"/>
  <c r="BF129" i="1" s="1"/>
  <c r="L129" i="1"/>
  <c r="M129" i="1" s="1"/>
  <c r="BW127" i="1"/>
  <c r="BJ127" i="1"/>
  <c r="BF127" i="1"/>
  <c r="BD127" i="1"/>
  <c r="AW127" i="1"/>
  <c r="AP127" i="1"/>
  <c r="K127" i="1" s="1"/>
  <c r="AO127" i="1"/>
  <c r="J127" i="1" s="1"/>
  <c r="AK127" i="1"/>
  <c r="AJ127" i="1"/>
  <c r="AH127" i="1"/>
  <c r="AG127" i="1"/>
  <c r="AF127" i="1"/>
  <c r="AE127" i="1"/>
  <c r="AD127" i="1"/>
  <c r="Z127" i="1"/>
  <c r="O127" i="1"/>
  <c r="O126" i="1" s="1"/>
  <c r="M127" i="1"/>
  <c r="M126" i="1" s="1"/>
  <c r="L127" i="1"/>
  <c r="AL127" i="1" s="1"/>
  <c r="AT126" i="1"/>
  <c r="BW124" i="1"/>
  <c r="BJ124" i="1"/>
  <c r="BF124" i="1"/>
  <c r="BD124" i="1"/>
  <c r="AW124" i="1"/>
  <c r="AP124" i="1"/>
  <c r="AO124" i="1"/>
  <c r="AL124" i="1"/>
  <c r="AU123" i="1" s="1"/>
  <c r="AK124" i="1"/>
  <c r="AT123" i="1" s="1"/>
  <c r="AJ124" i="1"/>
  <c r="AS123" i="1" s="1"/>
  <c r="AH124" i="1"/>
  <c r="AG124" i="1"/>
  <c r="AF124" i="1"/>
  <c r="AE124" i="1"/>
  <c r="AD124" i="1"/>
  <c r="Z124" i="1"/>
  <c r="O124" i="1"/>
  <c r="L124" i="1"/>
  <c r="M124" i="1" s="1"/>
  <c r="M123" i="1" s="1"/>
  <c r="K124" i="1"/>
  <c r="K123" i="1" s="1"/>
  <c r="O123" i="1"/>
  <c r="L123" i="1"/>
  <c r="BW122" i="1"/>
  <c r="BJ122" i="1"/>
  <c r="BD122" i="1"/>
  <c r="AP122" i="1"/>
  <c r="AO122" i="1"/>
  <c r="BH122" i="1" s="1"/>
  <c r="AB122" i="1" s="1"/>
  <c r="AK122" i="1"/>
  <c r="AJ122" i="1"/>
  <c r="AH122" i="1"/>
  <c r="AG122" i="1"/>
  <c r="AF122" i="1"/>
  <c r="AE122" i="1"/>
  <c r="AD122" i="1"/>
  <c r="Z122" i="1"/>
  <c r="O122" i="1"/>
  <c r="BF122" i="1" s="1"/>
  <c r="L122" i="1"/>
  <c r="M122" i="1" s="1"/>
  <c r="BW121" i="1"/>
  <c r="BJ121" i="1"/>
  <c r="BI121" i="1"/>
  <c r="AC121" i="1" s="1"/>
  <c r="BH121" i="1"/>
  <c r="AB121" i="1" s="1"/>
  <c r="BF121" i="1"/>
  <c r="BD121" i="1"/>
  <c r="AW121" i="1"/>
  <c r="AP121" i="1"/>
  <c r="AX121" i="1" s="1"/>
  <c r="AO121" i="1"/>
  <c r="AK121" i="1"/>
  <c r="AJ121" i="1"/>
  <c r="AH121" i="1"/>
  <c r="AG121" i="1"/>
  <c r="AF121" i="1"/>
  <c r="AE121" i="1"/>
  <c r="AD121" i="1"/>
  <c r="Z121" i="1"/>
  <c r="O121" i="1"/>
  <c r="M121" i="1"/>
  <c r="L121" i="1"/>
  <c r="AL121" i="1" s="1"/>
  <c r="J121" i="1"/>
  <c r="BW120" i="1"/>
  <c r="M120" i="1" s="1"/>
  <c r="BJ120" i="1"/>
  <c r="BF120" i="1"/>
  <c r="BD120" i="1"/>
  <c r="AX120" i="1"/>
  <c r="AP120" i="1"/>
  <c r="BI120" i="1" s="1"/>
  <c r="AC120" i="1" s="1"/>
  <c r="AO120" i="1"/>
  <c r="BH120" i="1" s="1"/>
  <c r="AB120" i="1" s="1"/>
  <c r="AL120" i="1"/>
  <c r="AK120" i="1"/>
  <c r="AJ120" i="1"/>
  <c r="AH120" i="1"/>
  <c r="AG120" i="1"/>
  <c r="AF120" i="1"/>
  <c r="AE120" i="1"/>
  <c r="AD120" i="1"/>
  <c r="Z120" i="1"/>
  <c r="O120" i="1"/>
  <c r="L120" i="1"/>
  <c r="BW119" i="1"/>
  <c r="BJ119" i="1"/>
  <c r="BF119" i="1"/>
  <c r="BD119" i="1"/>
  <c r="AP119" i="1"/>
  <c r="AO119" i="1"/>
  <c r="AW119" i="1" s="1"/>
  <c r="AL119" i="1"/>
  <c r="AK119" i="1"/>
  <c r="AJ119" i="1"/>
  <c r="AH119" i="1"/>
  <c r="AG119" i="1"/>
  <c r="AF119" i="1"/>
  <c r="AE119" i="1"/>
  <c r="AD119" i="1"/>
  <c r="Z119" i="1"/>
  <c r="O119" i="1"/>
  <c r="L119" i="1"/>
  <c r="M119" i="1" s="1"/>
  <c r="K119" i="1"/>
  <c r="BW115" i="1"/>
  <c r="BJ115" i="1"/>
  <c r="BI115" i="1"/>
  <c r="AC115" i="1" s="1"/>
  <c r="BH115" i="1"/>
  <c r="AB115" i="1" s="1"/>
  <c r="BD115" i="1"/>
  <c r="AP115" i="1"/>
  <c r="AX115" i="1" s="1"/>
  <c r="AO115" i="1"/>
  <c r="AW115" i="1" s="1"/>
  <c r="BC115" i="1" s="1"/>
  <c r="AK115" i="1"/>
  <c r="AJ115" i="1"/>
  <c r="AH115" i="1"/>
  <c r="AG115" i="1"/>
  <c r="AF115" i="1"/>
  <c r="AE115" i="1"/>
  <c r="AD115" i="1"/>
  <c r="Z115" i="1"/>
  <c r="O115" i="1"/>
  <c r="O104" i="1" s="1"/>
  <c r="L115" i="1"/>
  <c r="AL115" i="1" s="1"/>
  <c r="K115" i="1"/>
  <c r="BW112" i="1"/>
  <c r="BJ112" i="1"/>
  <c r="BD112" i="1"/>
  <c r="AW112" i="1"/>
  <c r="AP112" i="1"/>
  <c r="AO112" i="1"/>
  <c r="BH112" i="1" s="1"/>
  <c r="AB112" i="1" s="1"/>
  <c r="AK112" i="1"/>
  <c r="AJ112" i="1"/>
  <c r="AH112" i="1"/>
  <c r="AG112" i="1"/>
  <c r="AF112" i="1"/>
  <c r="AE112" i="1"/>
  <c r="AD112" i="1"/>
  <c r="Z112" i="1"/>
  <c r="O112" i="1"/>
  <c r="BF112" i="1" s="1"/>
  <c r="L112" i="1"/>
  <c r="M112" i="1" s="1"/>
  <c r="BW110" i="1"/>
  <c r="BJ110" i="1"/>
  <c r="BI110" i="1"/>
  <c r="AC110" i="1" s="1"/>
  <c r="BH110" i="1"/>
  <c r="AB110" i="1" s="1"/>
  <c r="BF110" i="1"/>
  <c r="BD110" i="1"/>
  <c r="AX110" i="1"/>
  <c r="AV110" i="1" s="1"/>
  <c r="AW110" i="1"/>
  <c r="AP110" i="1"/>
  <c r="AO110" i="1"/>
  <c r="AK110" i="1"/>
  <c r="AJ110" i="1"/>
  <c r="AH110" i="1"/>
  <c r="AG110" i="1"/>
  <c r="AF110" i="1"/>
  <c r="AE110" i="1"/>
  <c r="AD110" i="1"/>
  <c r="Z110" i="1"/>
  <c r="O110" i="1"/>
  <c r="M110" i="1"/>
  <c r="L110" i="1"/>
  <c r="AL110" i="1" s="1"/>
  <c r="K110" i="1"/>
  <c r="J110" i="1"/>
  <c r="BW108" i="1"/>
  <c r="BJ108" i="1"/>
  <c r="BF108" i="1"/>
  <c r="BD108" i="1"/>
  <c r="AX108" i="1"/>
  <c r="AP108" i="1"/>
  <c r="BI108" i="1" s="1"/>
  <c r="AC108" i="1" s="1"/>
  <c r="AO108" i="1"/>
  <c r="BH108" i="1" s="1"/>
  <c r="AK108" i="1"/>
  <c r="AJ108" i="1"/>
  <c r="AH108" i="1"/>
  <c r="AG108" i="1"/>
  <c r="AF108" i="1"/>
  <c r="AE108" i="1"/>
  <c r="AD108" i="1"/>
  <c r="AB108" i="1"/>
  <c r="Z108" i="1"/>
  <c r="O108" i="1"/>
  <c r="L108" i="1"/>
  <c r="AL108" i="1" s="1"/>
  <c r="BW105" i="1"/>
  <c r="BJ105" i="1"/>
  <c r="BF105" i="1"/>
  <c r="BD105" i="1"/>
  <c r="AP105" i="1"/>
  <c r="AO105" i="1"/>
  <c r="AK105" i="1"/>
  <c r="AJ105" i="1"/>
  <c r="AH105" i="1"/>
  <c r="AG105" i="1"/>
  <c r="AF105" i="1"/>
  <c r="AE105" i="1"/>
  <c r="AD105" i="1"/>
  <c r="Z105" i="1"/>
  <c r="O105" i="1"/>
  <c r="M105" i="1"/>
  <c r="L105" i="1"/>
  <c r="AL105" i="1" s="1"/>
  <c r="BW102" i="1"/>
  <c r="BJ102" i="1"/>
  <c r="BD102" i="1"/>
  <c r="AP102" i="1"/>
  <c r="AO102" i="1"/>
  <c r="BH102" i="1" s="1"/>
  <c r="AB102" i="1" s="1"/>
  <c r="AK102" i="1"/>
  <c r="AJ102" i="1"/>
  <c r="AH102" i="1"/>
  <c r="AG102" i="1"/>
  <c r="AF102" i="1"/>
  <c r="AE102" i="1"/>
  <c r="AD102" i="1"/>
  <c r="Z102" i="1"/>
  <c r="O102" i="1"/>
  <c r="BF102" i="1" s="1"/>
  <c r="L102" i="1"/>
  <c r="M102" i="1" s="1"/>
  <c r="BW100" i="1"/>
  <c r="BJ100" i="1"/>
  <c r="BH100" i="1"/>
  <c r="AB100" i="1" s="1"/>
  <c r="BF100" i="1"/>
  <c r="BD100" i="1"/>
  <c r="AW100" i="1"/>
  <c r="AP100" i="1"/>
  <c r="K100" i="1" s="1"/>
  <c r="AO100" i="1"/>
  <c r="J100" i="1" s="1"/>
  <c r="AK100" i="1"/>
  <c r="AJ100" i="1"/>
  <c r="AH100" i="1"/>
  <c r="AG100" i="1"/>
  <c r="AF100" i="1"/>
  <c r="AE100" i="1"/>
  <c r="AD100" i="1"/>
  <c r="Z100" i="1"/>
  <c r="O100" i="1"/>
  <c r="O99" i="1" s="1"/>
  <c r="L100" i="1"/>
  <c r="AT99" i="1"/>
  <c r="BW97" i="1"/>
  <c r="BJ97" i="1"/>
  <c r="BF97" i="1"/>
  <c r="BD97" i="1"/>
  <c r="AX97" i="1"/>
  <c r="AW97" i="1"/>
  <c r="AP97" i="1"/>
  <c r="BI97" i="1" s="1"/>
  <c r="AC97" i="1" s="1"/>
  <c r="AO97" i="1"/>
  <c r="BH97" i="1" s="1"/>
  <c r="AK97" i="1"/>
  <c r="AJ97" i="1"/>
  <c r="AH97" i="1"/>
  <c r="AG97" i="1"/>
  <c r="AF97" i="1"/>
  <c r="AE97" i="1"/>
  <c r="AD97" i="1"/>
  <c r="AB97" i="1"/>
  <c r="Z97" i="1"/>
  <c r="O97" i="1"/>
  <c r="L97" i="1"/>
  <c r="L96" i="1" s="1"/>
  <c r="J97" i="1"/>
  <c r="J96" i="1" s="1"/>
  <c r="AT96" i="1"/>
  <c r="AS96" i="1"/>
  <c r="O96" i="1"/>
  <c r="BW94" i="1"/>
  <c r="BJ94" i="1"/>
  <c r="BD94" i="1"/>
  <c r="AP94" i="1"/>
  <c r="AO94" i="1"/>
  <c r="AL94" i="1"/>
  <c r="AK94" i="1"/>
  <c r="AJ94" i="1"/>
  <c r="AH94" i="1"/>
  <c r="AG94" i="1"/>
  <c r="AF94" i="1"/>
  <c r="AE94" i="1"/>
  <c r="AD94" i="1"/>
  <c r="Z94" i="1"/>
  <c r="O94" i="1"/>
  <c r="BF94" i="1" s="1"/>
  <c r="L94" i="1"/>
  <c r="M94" i="1" s="1"/>
  <c r="BW92" i="1"/>
  <c r="BJ92" i="1"/>
  <c r="BD92" i="1"/>
  <c r="AP92" i="1"/>
  <c r="BI92" i="1" s="1"/>
  <c r="AC92" i="1" s="1"/>
  <c r="AO92" i="1"/>
  <c r="J92" i="1" s="1"/>
  <c r="AK92" i="1"/>
  <c r="AJ92" i="1"/>
  <c r="AH92" i="1"/>
  <c r="AG92" i="1"/>
  <c r="AF92" i="1"/>
  <c r="AE92" i="1"/>
  <c r="AD92" i="1"/>
  <c r="Z92" i="1"/>
  <c r="O92" i="1"/>
  <c r="BF92" i="1" s="1"/>
  <c r="L92" i="1"/>
  <c r="AL92" i="1" s="1"/>
  <c r="K92" i="1"/>
  <c r="BW90" i="1"/>
  <c r="BJ90" i="1"/>
  <c r="BF90" i="1"/>
  <c r="BD90" i="1"/>
  <c r="AX90" i="1"/>
  <c r="AP90" i="1"/>
  <c r="BI90" i="1" s="1"/>
  <c r="AC90" i="1" s="1"/>
  <c r="AO90" i="1"/>
  <c r="BH90" i="1" s="1"/>
  <c r="AB90" i="1" s="1"/>
  <c r="AK90" i="1"/>
  <c r="AJ90" i="1"/>
  <c r="AH90" i="1"/>
  <c r="AG90" i="1"/>
  <c r="AF90" i="1"/>
  <c r="AE90" i="1"/>
  <c r="AD90" i="1"/>
  <c r="Z90" i="1"/>
  <c r="O90" i="1"/>
  <c r="L90" i="1"/>
  <c r="AL90" i="1" s="1"/>
  <c r="BW88" i="1"/>
  <c r="BJ88" i="1"/>
  <c r="BF88" i="1"/>
  <c r="BD88" i="1"/>
  <c r="AP88" i="1"/>
  <c r="BI88" i="1" s="1"/>
  <c r="AC88" i="1" s="1"/>
  <c r="AO88" i="1"/>
  <c r="BH88" i="1" s="1"/>
  <c r="AB88" i="1" s="1"/>
  <c r="AL88" i="1"/>
  <c r="AK88" i="1"/>
  <c r="AJ88" i="1"/>
  <c r="AH88" i="1"/>
  <c r="AG88" i="1"/>
  <c r="AF88" i="1"/>
  <c r="AE88" i="1"/>
  <c r="AD88" i="1"/>
  <c r="Z88" i="1"/>
  <c r="O88" i="1"/>
  <c r="M88" i="1"/>
  <c r="L88" i="1"/>
  <c r="BW86" i="1"/>
  <c r="BJ86" i="1"/>
  <c r="BF86" i="1"/>
  <c r="BD86" i="1"/>
  <c r="AP86" i="1"/>
  <c r="BI86" i="1" s="1"/>
  <c r="AC86" i="1" s="1"/>
  <c r="AO86" i="1"/>
  <c r="BH86" i="1" s="1"/>
  <c r="AB86" i="1" s="1"/>
  <c r="AK86" i="1"/>
  <c r="AJ86" i="1"/>
  <c r="AH86" i="1"/>
  <c r="AG86" i="1"/>
  <c r="AF86" i="1"/>
  <c r="AE86" i="1"/>
  <c r="AD86" i="1"/>
  <c r="Z86" i="1"/>
  <c r="O86" i="1"/>
  <c r="L86" i="1"/>
  <c r="AL86" i="1" s="1"/>
  <c r="K86" i="1"/>
  <c r="J86" i="1"/>
  <c r="BW85" i="1"/>
  <c r="BJ85" i="1"/>
  <c r="BD85" i="1"/>
  <c r="AP85" i="1"/>
  <c r="AO85" i="1"/>
  <c r="AK85" i="1"/>
  <c r="AJ85" i="1"/>
  <c r="AH85" i="1"/>
  <c r="AG85" i="1"/>
  <c r="AF85" i="1"/>
  <c r="AE85" i="1"/>
  <c r="AD85" i="1"/>
  <c r="Z85" i="1"/>
  <c r="O85" i="1"/>
  <c r="BF85" i="1" s="1"/>
  <c r="L85" i="1"/>
  <c r="BW83" i="1"/>
  <c r="BJ83" i="1"/>
  <c r="BH83" i="1"/>
  <c r="AB83" i="1" s="1"/>
  <c r="BF83" i="1"/>
  <c r="BD83" i="1"/>
  <c r="AP83" i="1"/>
  <c r="AX83" i="1" s="1"/>
  <c r="AO83" i="1"/>
  <c r="AW83" i="1" s="1"/>
  <c r="BC83" i="1" s="1"/>
  <c r="AL83" i="1"/>
  <c r="AK83" i="1"/>
  <c r="AJ83" i="1"/>
  <c r="AH83" i="1"/>
  <c r="AG83" i="1"/>
  <c r="AF83" i="1"/>
  <c r="AE83" i="1"/>
  <c r="AD83" i="1"/>
  <c r="Z83" i="1"/>
  <c r="O83" i="1"/>
  <c r="L83" i="1"/>
  <c r="M83" i="1" s="1"/>
  <c r="K83" i="1"/>
  <c r="J83" i="1"/>
  <c r="BW81" i="1"/>
  <c r="M81" i="1" s="1"/>
  <c r="BJ81" i="1"/>
  <c r="BF81" i="1"/>
  <c r="BD81" i="1"/>
  <c r="AP81" i="1"/>
  <c r="BI81" i="1" s="1"/>
  <c r="AC81" i="1" s="1"/>
  <c r="AO81" i="1"/>
  <c r="AL81" i="1"/>
  <c r="AK81" i="1"/>
  <c r="AJ81" i="1"/>
  <c r="AH81" i="1"/>
  <c r="AG81" i="1"/>
  <c r="AF81" i="1"/>
  <c r="AE81" i="1"/>
  <c r="AD81" i="1"/>
  <c r="Z81" i="1"/>
  <c r="O81" i="1"/>
  <c r="L81" i="1"/>
  <c r="BW79" i="1"/>
  <c r="BJ79" i="1"/>
  <c r="BF79" i="1"/>
  <c r="BD79" i="1"/>
  <c r="AP79" i="1"/>
  <c r="BI79" i="1" s="1"/>
  <c r="AC79" i="1" s="1"/>
  <c r="AO79" i="1"/>
  <c r="BH79" i="1" s="1"/>
  <c r="AB79" i="1" s="1"/>
  <c r="AK79" i="1"/>
  <c r="AJ79" i="1"/>
  <c r="AH79" i="1"/>
  <c r="AG79" i="1"/>
  <c r="AF79" i="1"/>
  <c r="AE79" i="1"/>
  <c r="AD79" i="1"/>
  <c r="Z79" i="1"/>
  <c r="O79" i="1"/>
  <c r="L79" i="1"/>
  <c r="AL79" i="1" s="1"/>
  <c r="BW74" i="1"/>
  <c r="BJ74" i="1"/>
  <c r="BI74" i="1"/>
  <c r="AC74" i="1" s="1"/>
  <c r="BH74" i="1"/>
  <c r="AB74" i="1" s="1"/>
  <c r="BF74" i="1"/>
  <c r="BD74" i="1"/>
  <c r="AW74" i="1"/>
  <c r="AP74" i="1"/>
  <c r="AX74" i="1" s="1"/>
  <c r="AO74" i="1"/>
  <c r="J74" i="1" s="1"/>
  <c r="AK74" i="1"/>
  <c r="AJ74" i="1"/>
  <c r="AH74" i="1"/>
  <c r="AG74" i="1"/>
  <c r="AF74" i="1"/>
  <c r="AE74" i="1"/>
  <c r="AD74" i="1"/>
  <c r="Z74" i="1"/>
  <c r="O74" i="1"/>
  <c r="O67" i="1" s="1"/>
  <c r="L74" i="1"/>
  <c r="AL74" i="1" s="1"/>
  <c r="BW72" i="1"/>
  <c r="BJ72" i="1"/>
  <c r="BD72" i="1"/>
  <c r="AP72" i="1"/>
  <c r="AO72" i="1"/>
  <c r="BH72" i="1" s="1"/>
  <c r="AB72" i="1" s="1"/>
  <c r="AK72" i="1"/>
  <c r="AJ72" i="1"/>
  <c r="AH72" i="1"/>
  <c r="AG72" i="1"/>
  <c r="AF72" i="1"/>
  <c r="AE72" i="1"/>
  <c r="AD72" i="1"/>
  <c r="Z72" i="1"/>
  <c r="O72" i="1"/>
  <c r="BF72" i="1" s="1"/>
  <c r="L72" i="1"/>
  <c r="J72" i="1"/>
  <c r="BW68" i="1"/>
  <c r="BJ68" i="1"/>
  <c r="BD68" i="1"/>
  <c r="AP68" i="1"/>
  <c r="K68" i="1" s="1"/>
  <c r="AO68" i="1"/>
  <c r="BH68" i="1" s="1"/>
  <c r="AB68" i="1" s="1"/>
  <c r="AL68" i="1"/>
  <c r="AK68" i="1"/>
  <c r="AJ68" i="1"/>
  <c r="AH68" i="1"/>
  <c r="AG68" i="1"/>
  <c r="AF68" i="1"/>
  <c r="AE68" i="1"/>
  <c r="AD68" i="1"/>
  <c r="Z68" i="1"/>
  <c r="O68" i="1"/>
  <c r="BF68" i="1" s="1"/>
  <c r="L68" i="1"/>
  <c r="M68" i="1" s="1"/>
  <c r="BW65" i="1"/>
  <c r="BJ65" i="1"/>
  <c r="BD65" i="1"/>
  <c r="AX65" i="1"/>
  <c r="AW65" i="1"/>
  <c r="AV65" i="1" s="1"/>
  <c r="AP65" i="1"/>
  <c r="BI65" i="1" s="1"/>
  <c r="AC65" i="1" s="1"/>
  <c r="AO65" i="1"/>
  <c r="J65" i="1" s="1"/>
  <c r="AK65" i="1"/>
  <c r="AJ65" i="1"/>
  <c r="AH65" i="1"/>
  <c r="AG65" i="1"/>
  <c r="AF65" i="1"/>
  <c r="AE65" i="1"/>
  <c r="AD65" i="1"/>
  <c r="Z65" i="1"/>
  <c r="O65" i="1"/>
  <c r="BF65" i="1" s="1"/>
  <c r="L65" i="1"/>
  <c r="AL65" i="1" s="1"/>
  <c r="BW63" i="1"/>
  <c r="BJ63" i="1"/>
  <c r="BH63" i="1"/>
  <c r="AB63" i="1" s="1"/>
  <c r="BD63" i="1"/>
  <c r="AX63" i="1"/>
  <c r="AP63" i="1"/>
  <c r="BI63" i="1" s="1"/>
  <c r="AC63" i="1" s="1"/>
  <c r="AO63" i="1"/>
  <c r="AW63" i="1" s="1"/>
  <c r="AK63" i="1"/>
  <c r="AJ63" i="1"/>
  <c r="AH63" i="1"/>
  <c r="AG63" i="1"/>
  <c r="AF63" i="1"/>
  <c r="AE63" i="1"/>
  <c r="AD63" i="1"/>
  <c r="Z63" i="1"/>
  <c r="O63" i="1"/>
  <c r="BF63" i="1" s="1"/>
  <c r="M63" i="1"/>
  <c r="L63" i="1"/>
  <c r="AL63" i="1" s="1"/>
  <c r="J63" i="1"/>
  <c r="BW62" i="1"/>
  <c r="BJ62" i="1"/>
  <c r="BD62" i="1"/>
  <c r="AP62" i="1"/>
  <c r="AX62" i="1" s="1"/>
  <c r="AO62" i="1"/>
  <c r="BH62" i="1" s="1"/>
  <c r="AB62" i="1" s="1"/>
  <c r="AK62" i="1"/>
  <c r="AJ62" i="1"/>
  <c r="AH62" i="1"/>
  <c r="AG62" i="1"/>
  <c r="AF62" i="1"/>
  <c r="AE62" i="1"/>
  <c r="AD62" i="1"/>
  <c r="Z62" i="1"/>
  <c r="O62" i="1"/>
  <c r="BF62" i="1" s="1"/>
  <c r="L62" i="1"/>
  <c r="AL62" i="1" s="1"/>
  <c r="BW60" i="1"/>
  <c r="BJ60" i="1"/>
  <c r="BI60" i="1"/>
  <c r="AC60" i="1" s="1"/>
  <c r="BF60" i="1"/>
  <c r="BD60" i="1"/>
  <c r="AP60" i="1"/>
  <c r="AX60" i="1" s="1"/>
  <c r="AO60" i="1"/>
  <c r="BH60" i="1" s="1"/>
  <c r="AB60" i="1" s="1"/>
  <c r="AK60" i="1"/>
  <c r="AJ60" i="1"/>
  <c r="AH60" i="1"/>
  <c r="AG60" i="1"/>
  <c r="AF60" i="1"/>
  <c r="AE60" i="1"/>
  <c r="AD60" i="1"/>
  <c r="Z60" i="1"/>
  <c r="O60" i="1"/>
  <c r="L60" i="1"/>
  <c r="M60" i="1" s="1"/>
  <c r="L59" i="1"/>
  <c r="BW57" i="1"/>
  <c r="BJ57" i="1"/>
  <c r="BD57" i="1"/>
  <c r="AP57" i="1"/>
  <c r="BI57" i="1" s="1"/>
  <c r="AC57" i="1" s="1"/>
  <c r="AO57" i="1"/>
  <c r="J57" i="1" s="1"/>
  <c r="J56" i="1" s="1"/>
  <c r="AL57" i="1"/>
  <c r="AU56" i="1" s="1"/>
  <c r="AK57" i="1"/>
  <c r="AT56" i="1" s="1"/>
  <c r="AJ57" i="1"/>
  <c r="AS56" i="1" s="1"/>
  <c r="AH57" i="1"/>
  <c r="AG57" i="1"/>
  <c r="AF57" i="1"/>
  <c r="AE57" i="1"/>
  <c r="AD57" i="1"/>
  <c r="Z57" i="1"/>
  <c r="O57" i="1"/>
  <c r="BF57" i="1" s="1"/>
  <c r="M57" i="1"/>
  <c r="M56" i="1" s="1"/>
  <c r="L57" i="1"/>
  <c r="L56" i="1"/>
  <c r="BW55" i="1"/>
  <c r="BJ55" i="1"/>
  <c r="BD55" i="1"/>
  <c r="AP55" i="1"/>
  <c r="AX55" i="1" s="1"/>
  <c r="AO55" i="1"/>
  <c r="BH55" i="1" s="1"/>
  <c r="AB55" i="1" s="1"/>
  <c r="AL55" i="1"/>
  <c r="AK55" i="1"/>
  <c r="AJ55" i="1"/>
  <c r="AH55" i="1"/>
  <c r="AG55" i="1"/>
  <c r="AF55" i="1"/>
  <c r="AE55" i="1"/>
  <c r="AD55" i="1"/>
  <c r="Z55" i="1"/>
  <c r="O55" i="1"/>
  <c r="BF55" i="1" s="1"/>
  <c r="L55" i="1"/>
  <c r="BW53" i="1"/>
  <c r="BJ53" i="1"/>
  <c r="BH53" i="1"/>
  <c r="AB53" i="1" s="1"/>
  <c r="BF53" i="1"/>
  <c r="BD53" i="1"/>
  <c r="AX53" i="1"/>
  <c r="AP53" i="1"/>
  <c r="BI53" i="1" s="1"/>
  <c r="AC53" i="1" s="1"/>
  <c r="AO53" i="1"/>
  <c r="AW53" i="1" s="1"/>
  <c r="AK53" i="1"/>
  <c r="AJ53" i="1"/>
  <c r="AH53" i="1"/>
  <c r="AG53" i="1"/>
  <c r="AF53" i="1"/>
  <c r="AE53" i="1"/>
  <c r="AD53" i="1"/>
  <c r="Z53" i="1"/>
  <c r="O53" i="1"/>
  <c r="L53" i="1"/>
  <c r="AL53" i="1" s="1"/>
  <c r="K53" i="1"/>
  <c r="BW52" i="1"/>
  <c r="BJ52" i="1"/>
  <c r="BF52" i="1"/>
  <c r="BD52" i="1"/>
  <c r="AX52" i="1"/>
  <c r="AP52" i="1"/>
  <c r="BI52" i="1" s="1"/>
  <c r="AO52" i="1"/>
  <c r="AK52" i="1"/>
  <c r="AJ52" i="1"/>
  <c r="AH52" i="1"/>
  <c r="AG52" i="1"/>
  <c r="AF52" i="1"/>
  <c r="AE52" i="1"/>
  <c r="AD52" i="1"/>
  <c r="AC52" i="1"/>
  <c r="Z52" i="1"/>
  <c r="O52" i="1"/>
  <c r="L52" i="1"/>
  <c r="M52" i="1" s="1"/>
  <c r="BW51" i="1"/>
  <c r="BJ51" i="1"/>
  <c r="BF51" i="1"/>
  <c r="BD51" i="1"/>
  <c r="AW51" i="1"/>
  <c r="AP51" i="1"/>
  <c r="BI51" i="1" s="1"/>
  <c r="AC51" i="1" s="1"/>
  <c r="AO51" i="1"/>
  <c r="BH51" i="1" s="1"/>
  <c r="AB51" i="1" s="1"/>
  <c r="AL51" i="1"/>
  <c r="AK51" i="1"/>
  <c r="AJ51" i="1"/>
  <c r="AH51" i="1"/>
  <c r="AG51" i="1"/>
  <c r="AF51" i="1"/>
  <c r="AE51" i="1"/>
  <c r="AD51" i="1"/>
  <c r="Z51" i="1"/>
  <c r="O51" i="1"/>
  <c r="L51" i="1"/>
  <c r="M51" i="1" s="1"/>
  <c r="BW50" i="1"/>
  <c r="BJ50" i="1"/>
  <c r="BI50" i="1"/>
  <c r="AC50" i="1" s="1"/>
  <c r="BD50" i="1"/>
  <c r="AX50" i="1"/>
  <c r="AP50" i="1"/>
  <c r="AO50" i="1"/>
  <c r="AW50" i="1" s="1"/>
  <c r="AK50" i="1"/>
  <c r="AJ50" i="1"/>
  <c r="AH50" i="1"/>
  <c r="AG50" i="1"/>
  <c r="AF50" i="1"/>
  <c r="AE50" i="1"/>
  <c r="AD50" i="1"/>
  <c r="Z50" i="1"/>
  <c r="O50" i="1"/>
  <c r="BF50" i="1" s="1"/>
  <c r="L50" i="1"/>
  <c r="AL50" i="1" s="1"/>
  <c r="K50" i="1"/>
  <c r="BW48" i="1"/>
  <c r="BJ48" i="1"/>
  <c r="BH48" i="1"/>
  <c r="AB48" i="1" s="1"/>
  <c r="BD48" i="1"/>
  <c r="AX48" i="1"/>
  <c r="AP48" i="1"/>
  <c r="AO48" i="1"/>
  <c r="AW48" i="1" s="1"/>
  <c r="AK48" i="1"/>
  <c r="AT47" i="1" s="1"/>
  <c r="AJ48" i="1"/>
  <c r="AH48" i="1"/>
  <c r="AG48" i="1"/>
  <c r="AF48" i="1"/>
  <c r="AE48" i="1"/>
  <c r="AD48" i="1"/>
  <c r="Z48" i="1"/>
  <c r="O48" i="1"/>
  <c r="BF48" i="1" s="1"/>
  <c r="L48" i="1"/>
  <c r="M48" i="1" s="1"/>
  <c r="BW45" i="1"/>
  <c r="BJ45" i="1"/>
  <c r="BD45" i="1"/>
  <c r="AP45" i="1"/>
  <c r="BI45" i="1" s="1"/>
  <c r="AC45" i="1" s="1"/>
  <c r="AO45" i="1"/>
  <c r="AW45" i="1" s="1"/>
  <c r="AL45" i="1"/>
  <c r="AU44" i="1" s="1"/>
  <c r="AK45" i="1"/>
  <c r="AT44" i="1" s="1"/>
  <c r="AJ45" i="1"/>
  <c r="AS44" i="1" s="1"/>
  <c r="AH45" i="1"/>
  <c r="AG45" i="1"/>
  <c r="AF45" i="1"/>
  <c r="AE45" i="1"/>
  <c r="AD45" i="1"/>
  <c r="Z45" i="1"/>
  <c r="O45" i="1"/>
  <c r="BF45" i="1" s="1"/>
  <c r="L45" i="1"/>
  <c r="M45" i="1" s="1"/>
  <c r="M44" i="1" s="1"/>
  <c r="O44" i="1"/>
  <c r="BW43" i="1"/>
  <c r="BJ43" i="1"/>
  <c r="BD43" i="1"/>
  <c r="AX43" i="1"/>
  <c r="AP43" i="1"/>
  <c r="K43" i="1" s="1"/>
  <c r="AO43" i="1"/>
  <c r="J43" i="1" s="1"/>
  <c r="AK43" i="1"/>
  <c r="AJ43" i="1"/>
  <c r="AH43" i="1"/>
  <c r="AG43" i="1"/>
  <c r="AF43" i="1"/>
  <c r="AE43" i="1"/>
  <c r="AD43" i="1"/>
  <c r="Z43" i="1"/>
  <c r="O43" i="1"/>
  <c r="BF43" i="1" s="1"/>
  <c r="L43" i="1"/>
  <c r="AL43" i="1" s="1"/>
  <c r="BW42" i="1"/>
  <c r="BJ42" i="1"/>
  <c r="BD42" i="1"/>
  <c r="AX42" i="1"/>
  <c r="AP42" i="1"/>
  <c r="AO42" i="1"/>
  <c r="BH42" i="1" s="1"/>
  <c r="AB42" i="1" s="1"/>
  <c r="AL42" i="1"/>
  <c r="AK42" i="1"/>
  <c r="AJ42" i="1"/>
  <c r="AH42" i="1"/>
  <c r="AG42" i="1"/>
  <c r="AF42" i="1"/>
  <c r="AE42" i="1"/>
  <c r="AD42" i="1"/>
  <c r="Z42" i="1"/>
  <c r="O42" i="1"/>
  <c r="BF42" i="1" s="1"/>
  <c r="L42" i="1"/>
  <c r="M42" i="1" s="1"/>
  <c r="BW40" i="1"/>
  <c r="BJ40" i="1"/>
  <c r="BI40" i="1"/>
  <c r="AC40" i="1" s="1"/>
  <c r="BF40" i="1"/>
  <c r="BD40" i="1"/>
  <c r="AX40" i="1"/>
  <c r="AP40" i="1"/>
  <c r="AO40" i="1"/>
  <c r="J40" i="1" s="1"/>
  <c r="AK40" i="1"/>
  <c r="AT39" i="1" s="1"/>
  <c r="AJ40" i="1"/>
  <c r="AH40" i="1"/>
  <c r="AG40" i="1"/>
  <c r="AF40" i="1"/>
  <c r="AE40" i="1"/>
  <c r="AD40" i="1"/>
  <c r="Z40" i="1"/>
  <c r="O40" i="1"/>
  <c r="L40" i="1"/>
  <c r="M40" i="1" s="1"/>
  <c r="K40" i="1"/>
  <c r="BW35" i="1"/>
  <c r="BJ35" i="1"/>
  <c r="BF35" i="1"/>
  <c r="BD35" i="1"/>
  <c r="AW35" i="1"/>
  <c r="AP35" i="1"/>
  <c r="BI35" i="1" s="1"/>
  <c r="AC35" i="1" s="1"/>
  <c r="AO35" i="1"/>
  <c r="BH35" i="1" s="1"/>
  <c r="AB35" i="1" s="1"/>
  <c r="AK35" i="1"/>
  <c r="AJ35" i="1"/>
  <c r="AH35" i="1"/>
  <c r="AG35" i="1"/>
  <c r="AF35" i="1"/>
  <c r="AE35" i="1"/>
  <c r="AD35" i="1"/>
  <c r="Z35" i="1"/>
  <c r="O35" i="1"/>
  <c r="L35" i="1"/>
  <c r="M35" i="1" s="1"/>
  <c r="BW33" i="1"/>
  <c r="BJ33" i="1"/>
  <c r="BI33" i="1"/>
  <c r="AC33" i="1" s="1"/>
  <c r="BD33" i="1"/>
  <c r="AP33" i="1"/>
  <c r="AX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BF33" i="1" s="1"/>
  <c r="L33" i="1"/>
  <c r="AL33" i="1" s="1"/>
  <c r="K33" i="1"/>
  <c r="J33" i="1"/>
  <c r="O32" i="1"/>
  <c r="L32" i="1"/>
  <c r="BW30" i="1"/>
  <c r="BJ30" i="1"/>
  <c r="BI30" i="1"/>
  <c r="AC30" i="1" s="1"/>
  <c r="BD30" i="1"/>
  <c r="AX30" i="1"/>
  <c r="AP30" i="1"/>
  <c r="AO30" i="1"/>
  <c r="J30" i="1" s="1"/>
  <c r="AK30" i="1"/>
  <c r="AJ30" i="1"/>
  <c r="AH30" i="1"/>
  <c r="AG30" i="1"/>
  <c r="AF30" i="1"/>
  <c r="AE30" i="1"/>
  <c r="AD30" i="1"/>
  <c r="Z30" i="1"/>
  <c r="O30" i="1"/>
  <c r="BF30" i="1" s="1"/>
  <c r="L30" i="1"/>
  <c r="M30" i="1" s="1"/>
  <c r="K30" i="1"/>
  <c r="BW28" i="1"/>
  <c r="BJ28" i="1"/>
  <c r="BF28" i="1"/>
  <c r="BD28" i="1"/>
  <c r="AP28" i="1"/>
  <c r="BI28" i="1" s="1"/>
  <c r="AC28" i="1" s="1"/>
  <c r="AO28" i="1"/>
  <c r="AW28" i="1" s="1"/>
  <c r="AK28" i="1"/>
  <c r="AJ28" i="1"/>
  <c r="AH28" i="1"/>
  <c r="AG28" i="1"/>
  <c r="AF28" i="1"/>
  <c r="AE28" i="1"/>
  <c r="AD28" i="1"/>
  <c r="Z28" i="1"/>
  <c r="O28" i="1"/>
  <c r="L28" i="1"/>
  <c r="M28" i="1" s="1"/>
  <c r="BW26" i="1"/>
  <c r="BJ26" i="1"/>
  <c r="BF26" i="1"/>
  <c r="BD26" i="1"/>
  <c r="AP26" i="1"/>
  <c r="K26" i="1" s="1"/>
  <c r="AO26" i="1"/>
  <c r="BH26" i="1" s="1"/>
  <c r="AB26" i="1" s="1"/>
  <c r="AK26" i="1"/>
  <c r="AJ26" i="1"/>
  <c r="AH26" i="1"/>
  <c r="AG26" i="1"/>
  <c r="AF26" i="1"/>
  <c r="AE26" i="1"/>
  <c r="AD26" i="1"/>
  <c r="Z26" i="1"/>
  <c r="O26" i="1"/>
  <c r="L26" i="1"/>
  <c r="AL26" i="1" s="1"/>
  <c r="BW23" i="1"/>
  <c r="BJ23" i="1"/>
  <c r="BI23" i="1"/>
  <c r="AC23" i="1" s="1"/>
  <c r="BH23" i="1"/>
  <c r="AB23" i="1" s="1"/>
  <c r="BD23" i="1"/>
  <c r="AX23" i="1"/>
  <c r="AP23" i="1"/>
  <c r="K23" i="1" s="1"/>
  <c r="AO23" i="1"/>
  <c r="J23" i="1" s="1"/>
  <c r="AL23" i="1"/>
  <c r="AK23" i="1"/>
  <c r="AJ23" i="1"/>
  <c r="AH23" i="1"/>
  <c r="AG23" i="1"/>
  <c r="AF23" i="1"/>
  <c r="AE23" i="1"/>
  <c r="AD23" i="1"/>
  <c r="Z23" i="1"/>
  <c r="O23" i="1"/>
  <c r="BF23" i="1" s="1"/>
  <c r="L23" i="1"/>
  <c r="M23" i="1" s="1"/>
  <c r="BW22" i="1"/>
  <c r="BJ22" i="1"/>
  <c r="BD22" i="1"/>
  <c r="AP22" i="1"/>
  <c r="BI22" i="1" s="1"/>
  <c r="AC22" i="1" s="1"/>
  <c r="AO22" i="1"/>
  <c r="AW22" i="1" s="1"/>
  <c r="AK22" i="1"/>
  <c r="AJ22" i="1"/>
  <c r="AH22" i="1"/>
  <c r="AG22" i="1"/>
  <c r="AF22" i="1"/>
  <c r="AE22" i="1"/>
  <c r="AD22" i="1"/>
  <c r="Z22" i="1"/>
  <c r="O22" i="1"/>
  <c r="BF22" i="1" s="1"/>
  <c r="L22" i="1"/>
  <c r="M22" i="1" s="1"/>
  <c r="BW21" i="1"/>
  <c r="BJ21" i="1"/>
  <c r="BD21" i="1"/>
  <c r="AP21" i="1"/>
  <c r="BI21" i="1" s="1"/>
  <c r="AC21" i="1" s="1"/>
  <c r="AO21" i="1"/>
  <c r="J21" i="1" s="1"/>
  <c r="AK21" i="1"/>
  <c r="AJ21" i="1"/>
  <c r="AH21" i="1"/>
  <c r="AG21" i="1"/>
  <c r="AF21" i="1"/>
  <c r="AE21" i="1"/>
  <c r="AD21" i="1"/>
  <c r="Z21" i="1"/>
  <c r="O21" i="1"/>
  <c r="O20" i="1" s="1"/>
  <c r="L21" i="1"/>
  <c r="AL21" i="1" s="1"/>
  <c r="K21" i="1"/>
  <c r="BW18" i="1"/>
  <c r="BJ18" i="1"/>
  <c r="BF18" i="1"/>
  <c r="BD18" i="1"/>
  <c r="AP18" i="1"/>
  <c r="K18" i="1" s="1"/>
  <c r="AO18" i="1"/>
  <c r="AW18" i="1" s="1"/>
  <c r="AL18" i="1"/>
  <c r="AK18" i="1"/>
  <c r="AJ18" i="1"/>
  <c r="AH18" i="1"/>
  <c r="AG18" i="1"/>
  <c r="AF18" i="1"/>
  <c r="AE18" i="1"/>
  <c r="AD18" i="1"/>
  <c r="Z18" i="1"/>
  <c r="O18" i="1"/>
  <c r="L18" i="1"/>
  <c r="M18" i="1" s="1"/>
  <c r="BW15" i="1"/>
  <c r="BJ15" i="1"/>
  <c r="BI15" i="1"/>
  <c r="AC15" i="1" s="1"/>
  <c r="BF15" i="1"/>
  <c r="BD15" i="1"/>
  <c r="AP15" i="1"/>
  <c r="AX15" i="1" s="1"/>
  <c r="AO15" i="1"/>
  <c r="J15" i="1" s="1"/>
  <c r="AK15" i="1"/>
  <c r="AJ15" i="1"/>
  <c r="AH15" i="1"/>
  <c r="AG15" i="1"/>
  <c r="AF15" i="1"/>
  <c r="AE15" i="1"/>
  <c r="AD15" i="1"/>
  <c r="Z15" i="1"/>
  <c r="O15" i="1"/>
  <c r="O12" i="1" s="1"/>
  <c r="L15" i="1"/>
  <c r="AL15" i="1" s="1"/>
  <c r="BW13" i="1"/>
  <c r="BJ13" i="1"/>
  <c r="BD13" i="1"/>
  <c r="AP13" i="1"/>
  <c r="BI13" i="1" s="1"/>
  <c r="AC13" i="1" s="1"/>
  <c r="AO13" i="1"/>
  <c r="BH13" i="1" s="1"/>
  <c r="AB13" i="1" s="1"/>
  <c r="AL13" i="1"/>
  <c r="AK13" i="1"/>
  <c r="AJ13" i="1"/>
  <c r="AS12" i="1" s="1"/>
  <c r="AH13" i="1"/>
  <c r="AG13" i="1"/>
  <c r="AF13" i="1"/>
  <c r="AE13" i="1"/>
  <c r="AD13" i="1"/>
  <c r="Z13" i="1"/>
  <c r="O13" i="1"/>
  <c r="BF13" i="1" s="1"/>
  <c r="L13" i="1"/>
  <c r="M13" i="1" s="1"/>
  <c r="AU1" i="1"/>
  <c r="AT1" i="1"/>
  <c r="AS1" i="1"/>
  <c r="BC134" i="1" l="1"/>
  <c r="AV134" i="1"/>
  <c r="BC549" i="1"/>
  <c r="BC50" i="1"/>
  <c r="AV50" i="1"/>
  <c r="AV576" i="1"/>
  <c r="AL30" i="1"/>
  <c r="AX45" i="1"/>
  <c r="BC45" i="1" s="1"/>
  <c r="AX68" i="1"/>
  <c r="M92" i="1"/>
  <c r="AS386" i="1"/>
  <c r="K15" i="1"/>
  <c r="AL28" i="1"/>
  <c r="AU20" i="1" s="1"/>
  <c r="AS32" i="1"/>
  <c r="AL35" i="1"/>
  <c r="AU32" i="1" s="1"/>
  <c r="BH43" i="1"/>
  <c r="AB43" i="1" s="1"/>
  <c r="BH50" i="1"/>
  <c r="AB50" i="1" s="1"/>
  <c r="J60" i="1"/>
  <c r="K63" i="1"/>
  <c r="BI83" i="1"/>
  <c r="AC83" i="1" s="1"/>
  <c r="AX100" i="1"/>
  <c r="AV100" i="1" s="1"/>
  <c r="AW102" i="1"/>
  <c r="K121" i="1"/>
  <c r="AX127" i="1"/>
  <c r="BC127" i="1" s="1"/>
  <c r="AW129" i="1"/>
  <c r="BC129" i="1" s="1"/>
  <c r="AS133" i="1"/>
  <c r="AL163" i="1"/>
  <c r="AW168" i="1"/>
  <c r="BC168" i="1" s="1"/>
  <c r="M188" i="1"/>
  <c r="M183" i="1" s="1"/>
  <c r="AW321" i="1"/>
  <c r="AX322" i="1"/>
  <c r="AV322" i="1" s="1"/>
  <c r="BH335" i="1"/>
  <c r="AD335" i="1" s="1"/>
  <c r="AV389" i="1"/>
  <c r="M404" i="1"/>
  <c r="K414" i="1"/>
  <c r="M421" i="1"/>
  <c r="M485" i="1"/>
  <c r="M504" i="1"/>
  <c r="AW538" i="1"/>
  <c r="M607" i="1"/>
  <c r="AL617" i="1"/>
  <c r="AU616" i="1" s="1"/>
  <c r="AX629" i="1"/>
  <c r="BC629" i="1" s="1"/>
  <c r="AX633" i="1"/>
  <c r="BC100" i="1"/>
  <c r="AX172" i="1"/>
  <c r="M487" i="1"/>
  <c r="M566" i="1"/>
  <c r="M565" i="1" s="1"/>
  <c r="AT32" i="1"/>
  <c r="BI43" i="1"/>
  <c r="AC43" i="1" s="1"/>
  <c r="J53" i="1"/>
  <c r="K60" i="1"/>
  <c r="BH65" i="1"/>
  <c r="AB65" i="1" s="1"/>
  <c r="BI68" i="1"/>
  <c r="AC68" i="1" s="1"/>
  <c r="K74" i="1"/>
  <c r="K97" i="1"/>
  <c r="K96" i="1" s="1"/>
  <c r="M108" i="1"/>
  <c r="J115" i="1"/>
  <c r="BH172" i="1"/>
  <c r="AB172" i="1" s="1"/>
  <c r="AL254" i="1"/>
  <c r="AW275" i="1"/>
  <c r="BI335" i="1"/>
  <c r="AE335" i="1" s="1"/>
  <c r="AL377" i="1"/>
  <c r="J401" i="1"/>
  <c r="AX538" i="1"/>
  <c r="BC538" i="1" s="1"/>
  <c r="AL587" i="1"/>
  <c r="AW589" i="1"/>
  <c r="BC589" i="1" s="1"/>
  <c r="AW593" i="1"/>
  <c r="AV593" i="1" s="1"/>
  <c r="L602" i="1"/>
  <c r="BI172" i="1"/>
  <c r="AC172" i="1" s="1"/>
  <c r="J284" i="1"/>
  <c r="BH322" i="1"/>
  <c r="AD322" i="1" s="1"/>
  <c r="K343" i="1"/>
  <c r="BH396" i="1"/>
  <c r="AD396" i="1" s="1"/>
  <c r="BH633" i="1"/>
  <c r="M79" i="1"/>
  <c r="BH127" i="1"/>
  <c r="AB127" i="1" s="1"/>
  <c r="BH275" i="1"/>
  <c r="AD275" i="1" s="1"/>
  <c r="BI322" i="1"/>
  <c r="AE322" i="1" s="1"/>
  <c r="AT430" i="1"/>
  <c r="AL436" i="1"/>
  <c r="M547" i="1"/>
  <c r="AX590" i="1"/>
  <c r="BI633" i="1"/>
  <c r="AL40" i="1"/>
  <c r="AU39" i="1" s="1"/>
  <c r="AX28" i="1"/>
  <c r="BC28" i="1" s="1"/>
  <c r="AX161" i="1"/>
  <c r="AV161" i="1" s="1"/>
  <c r="AX252" i="1"/>
  <c r="BC252" i="1" s="1"/>
  <c r="BC265" i="1"/>
  <c r="BH30" i="1"/>
  <c r="AB30" i="1" s="1"/>
  <c r="AW33" i="1"/>
  <c r="BC33" i="1" s="1"/>
  <c r="L44" i="1"/>
  <c r="J48" i="1"/>
  <c r="K65" i="1"/>
  <c r="BI100" i="1"/>
  <c r="AC100" i="1" s="1"/>
  <c r="BI127" i="1"/>
  <c r="AC127" i="1" s="1"/>
  <c r="AL207" i="1"/>
  <c r="AX265" i="1"/>
  <c r="BH271" i="1"/>
  <c r="AD271" i="1" s="1"/>
  <c r="BI275" i="1"/>
  <c r="AE275" i="1" s="1"/>
  <c r="M287" i="1"/>
  <c r="AW377" i="1"/>
  <c r="AX380" i="1"/>
  <c r="AW381" i="1"/>
  <c r="AS439" i="1"/>
  <c r="AW529" i="1"/>
  <c r="BC529" i="1" s="1"/>
  <c r="BH538" i="1"/>
  <c r="AB538" i="1" s="1"/>
  <c r="AL574" i="1"/>
  <c r="AL578" i="1"/>
  <c r="AW586" i="1"/>
  <c r="AV586" i="1" s="1"/>
  <c r="BH589" i="1"/>
  <c r="AB589" i="1" s="1"/>
  <c r="BH618" i="1"/>
  <c r="J629" i="1"/>
  <c r="BH629" i="1"/>
  <c r="L178" i="1"/>
  <c r="AW138" i="1"/>
  <c r="AW142" i="1"/>
  <c r="BC142" i="1" s="1"/>
  <c r="AW159" i="1"/>
  <c r="J172" i="1"/>
  <c r="J174" i="1"/>
  <c r="AW211" i="1"/>
  <c r="AW212" i="1"/>
  <c r="BC212" i="1" s="1"/>
  <c r="J322" i="1"/>
  <c r="M322" i="1"/>
  <c r="BH385" i="1"/>
  <c r="M396" i="1"/>
  <c r="AL519" i="1"/>
  <c r="BI538" i="1"/>
  <c r="AC538" i="1" s="1"/>
  <c r="AS567" i="1"/>
  <c r="AW576" i="1"/>
  <c r="BC576" i="1" s="1"/>
  <c r="BI589" i="1"/>
  <c r="AC589" i="1" s="1"/>
  <c r="BH593" i="1"/>
  <c r="AF593" i="1" s="1"/>
  <c r="BI618" i="1"/>
  <c r="K629" i="1"/>
  <c r="J50" i="1"/>
  <c r="M97" i="1"/>
  <c r="M96" i="1" s="1"/>
  <c r="AS20" i="1"/>
  <c r="M65" i="1"/>
  <c r="BH161" i="1"/>
  <c r="AB161" i="1" s="1"/>
  <c r="AV205" i="1"/>
  <c r="BC219" i="1"/>
  <c r="AV232" i="1"/>
  <c r="AV241" i="1"/>
  <c r="BH252" i="1"/>
  <c r="AD252" i="1" s="1"/>
  <c r="BI263" i="1"/>
  <c r="AE263" i="1" s="1"/>
  <c r="M275" i="1"/>
  <c r="BI317" i="1"/>
  <c r="AE317" i="1" s="1"/>
  <c r="BI385" i="1"/>
  <c r="BH389" i="1"/>
  <c r="AD389" i="1" s="1"/>
  <c r="BC429" i="1"/>
  <c r="AS471" i="1"/>
  <c r="AL523" i="1"/>
  <c r="AT567" i="1"/>
  <c r="AW570" i="1"/>
  <c r="BC570" i="1" s="1"/>
  <c r="AX573" i="1"/>
  <c r="AW580" i="1"/>
  <c r="BC580" i="1" s="1"/>
  <c r="M598" i="1"/>
  <c r="AX613" i="1"/>
  <c r="AV629" i="1"/>
  <c r="BC149" i="1"/>
  <c r="BI161" i="1"/>
  <c r="AC161" i="1" s="1"/>
  <c r="AS183" i="1"/>
  <c r="BH211" i="1"/>
  <c r="AD211" i="1" s="1"/>
  <c r="BI265" i="1"/>
  <c r="AE265" i="1" s="1"/>
  <c r="J271" i="1"/>
  <c r="BH380" i="1"/>
  <c r="AD380" i="1" s="1"/>
  <c r="AV407" i="1"/>
  <c r="BC436" i="1"/>
  <c r="AS498" i="1"/>
  <c r="AS506" i="1"/>
  <c r="BC525" i="1"/>
  <c r="AL562" i="1"/>
  <c r="AL568" i="1"/>
  <c r="AU567" i="1" s="1"/>
  <c r="BH586" i="1"/>
  <c r="AB586" i="1" s="1"/>
  <c r="M263" i="1"/>
  <c r="AL408" i="1"/>
  <c r="AS484" i="1"/>
  <c r="AV521" i="1"/>
  <c r="BC564" i="1"/>
  <c r="AT67" i="1"/>
  <c r="AL184" i="1"/>
  <c r="AU183" i="1" s="1"/>
  <c r="AX362" i="1"/>
  <c r="AX407" i="1"/>
  <c r="BC407" i="1" s="1"/>
  <c r="BC448" i="1"/>
  <c r="AL450" i="1"/>
  <c r="AU449" i="1" s="1"/>
  <c r="AT484" i="1"/>
  <c r="AX495" i="1"/>
  <c r="AL507" i="1"/>
  <c r="AV610" i="1"/>
  <c r="M625" i="1"/>
  <c r="AS59" i="1"/>
  <c r="M209" i="1"/>
  <c r="J219" i="1"/>
  <c r="M252" i="1"/>
  <c r="AW364" i="1"/>
  <c r="BI370" i="1"/>
  <c r="AE370" i="1" s="1"/>
  <c r="K395" i="1"/>
  <c r="AW406" i="1"/>
  <c r="AT413" i="1"/>
  <c r="AX448" i="1"/>
  <c r="AV448" i="1" s="1"/>
  <c r="AW492" i="1"/>
  <c r="BC492" i="1" s="1"/>
  <c r="AX497" i="1"/>
  <c r="AV497" i="1" s="1"/>
  <c r="AX515" i="1"/>
  <c r="AV515" i="1" s="1"/>
  <c r="M534" i="1"/>
  <c r="M533" i="1" s="1"/>
  <c r="AW560" i="1"/>
  <c r="AL566" i="1"/>
  <c r="AU565" i="1" s="1"/>
  <c r="AS602" i="1"/>
  <c r="AL22" i="1"/>
  <c r="AW408" i="1"/>
  <c r="BC408" i="1" s="1"/>
  <c r="BC421" i="1"/>
  <c r="AX492" i="1"/>
  <c r="AW499" i="1"/>
  <c r="AX560" i="1"/>
  <c r="AV560" i="1" s="1"/>
  <c r="AL60" i="1"/>
  <c r="AU59" i="1" s="1"/>
  <c r="AW86" i="1"/>
  <c r="AW92" i="1"/>
  <c r="AS104" i="1"/>
  <c r="AL122" i="1"/>
  <c r="AL181" i="1"/>
  <c r="AW184" i="1"/>
  <c r="AV184" i="1" s="1"/>
  <c r="AX193" i="1"/>
  <c r="AV193" i="1" s="1"/>
  <c r="K241" i="1"/>
  <c r="M243" i="1"/>
  <c r="AV341" i="1"/>
  <c r="BH362" i="1"/>
  <c r="AD362" i="1" s="1"/>
  <c r="AX408" i="1"/>
  <c r="BI411" i="1"/>
  <c r="AE411" i="1" s="1"/>
  <c r="BI443" i="1"/>
  <c r="AE443" i="1" s="1"/>
  <c r="AL482" i="1"/>
  <c r="AU481" i="1" s="1"/>
  <c r="AW485" i="1"/>
  <c r="AX487" i="1"/>
  <c r="AX488" i="1"/>
  <c r="BC488" i="1" s="1"/>
  <c r="AX499" i="1"/>
  <c r="BH515" i="1"/>
  <c r="AB515" i="1" s="1"/>
  <c r="BI564" i="1"/>
  <c r="AC564" i="1" s="1"/>
  <c r="AL603" i="1"/>
  <c r="AU602" i="1" s="1"/>
  <c r="BI610" i="1"/>
  <c r="AG610" i="1" s="1"/>
  <c r="K614" i="1"/>
  <c r="C28" i="2"/>
  <c r="F28" i="2" s="1"/>
  <c r="AT12" i="1"/>
  <c r="AS47" i="1"/>
  <c r="AL52" i="1"/>
  <c r="AX81" i="1"/>
  <c r="AX86" i="1"/>
  <c r="AX92" i="1"/>
  <c r="AU133" i="1"/>
  <c r="AL179" i="1"/>
  <c r="AW188" i="1"/>
  <c r="BC188" i="1" s="1"/>
  <c r="AW200" i="1"/>
  <c r="BC200" i="1" s="1"/>
  <c r="M212" i="1"/>
  <c r="M242" i="1"/>
  <c r="AW290" i="1"/>
  <c r="M303" i="1"/>
  <c r="M305" i="1"/>
  <c r="BI362" i="1"/>
  <c r="AE362" i="1" s="1"/>
  <c r="AL400" i="1"/>
  <c r="AL402" i="1"/>
  <c r="BH407" i="1"/>
  <c r="AD407" i="1" s="1"/>
  <c r="M409" i="1"/>
  <c r="AX412" i="1"/>
  <c r="AX423" i="1"/>
  <c r="BC423" i="1" s="1"/>
  <c r="J427" i="1"/>
  <c r="J428" i="1"/>
  <c r="K435" i="1"/>
  <c r="BH492" i="1"/>
  <c r="AB492" i="1" s="1"/>
  <c r="AX501" i="1"/>
  <c r="AX504" i="1"/>
  <c r="BI515" i="1"/>
  <c r="AC515" i="1" s="1"/>
  <c r="M525" i="1"/>
  <c r="AL551" i="1"/>
  <c r="AW554" i="1"/>
  <c r="BC554" i="1" s="1"/>
  <c r="BH560" i="1"/>
  <c r="AB560" i="1" s="1"/>
  <c r="AX605" i="1"/>
  <c r="AU498" i="1"/>
  <c r="AW21" i="1"/>
  <c r="AV21" i="1" s="1"/>
  <c r="BC121" i="1"/>
  <c r="BI407" i="1"/>
  <c r="AE407" i="1" s="1"/>
  <c r="J477" i="1"/>
  <c r="BH477" i="1"/>
  <c r="AD477" i="1" s="1"/>
  <c r="BI492" i="1"/>
  <c r="AC492" i="1" s="1"/>
  <c r="BI497" i="1"/>
  <c r="AC497" i="1" s="1"/>
  <c r="BI560" i="1"/>
  <c r="AC560" i="1" s="1"/>
  <c r="AT20" i="1"/>
  <c r="AT59" i="1"/>
  <c r="AX21" i="1"/>
  <c r="BH21" i="1"/>
  <c r="AB21" i="1" s="1"/>
  <c r="AL97" i="1"/>
  <c r="AU96" i="1" s="1"/>
  <c r="AT104" i="1"/>
  <c r="M202" i="1"/>
  <c r="AW60" i="1"/>
  <c r="BC60" i="1" s="1"/>
  <c r="M90" i="1"/>
  <c r="BH92" i="1"/>
  <c r="AB92" i="1" s="1"/>
  <c r="AS99" i="1"/>
  <c r="AW122" i="1"/>
  <c r="AS126" i="1"/>
  <c r="AS167" i="1"/>
  <c r="BH193" i="1"/>
  <c r="AD193" i="1" s="1"/>
  <c r="BH290" i="1"/>
  <c r="AD290" i="1" s="1"/>
  <c r="BC341" i="1"/>
  <c r="AW343" i="1"/>
  <c r="BI345" i="1"/>
  <c r="AE345" i="1" s="1"/>
  <c r="BH403" i="1"/>
  <c r="AD403" i="1" s="1"/>
  <c r="J407" i="1"/>
  <c r="J412" i="1"/>
  <c r="BH487" i="1"/>
  <c r="AB487" i="1" s="1"/>
  <c r="M515" i="1"/>
  <c r="BH605" i="1"/>
  <c r="AF605" i="1" s="1"/>
  <c r="BH15" i="1"/>
  <c r="AB15" i="1" s="1"/>
  <c r="AS39" i="1"/>
  <c r="BH57" i="1"/>
  <c r="AB57" i="1" s="1"/>
  <c r="BH188" i="1"/>
  <c r="AD188" i="1" s="1"/>
  <c r="BI290" i="1"/>
  <c r="AE290" i="1" s="1"/>
  <c r="K364" i="1"/>
  <c r="AW400" i="1"/>
  <c r="AW402" i="1"/>
  <c r="AV402" i="1" s="1"/>
  <c r="K412" i="1"/>
  <c r="BH414" i="1"/>
  <c r="AD414" i="1" s="1"/>
  <c r="BH421" i="1"/>
  <c r="AD421" i="1" s="1"/>
  <c r="BH488" i="1"/>
  <c r="AB488" i="1" s="1"/>
  <c r="M492" i="1"/>
  <c r="M497" i="1"/>
  <c r="AS533" i="1"/>
  <c r="BH554" i="1"/>
  <c r="AB554" i="1" s="1"/>
  <c r="M560" i="1"/>
  <c r="BI605" i="1"/>
  <c r="AG605" i="1" s="1"/>
  <c r="AS616" i="1"/>
  <c r="AV97" i="1"/>
  <c r="AL102" i="1"/>
  <c r="AL129" i="1"/>
  <c r="AU126" i="1" s="1"/>
  <c r="L481" i="1"/>
  <c r="M499" i="1"/>
  <c r="M498" i="1" s="1"/>
  <c r="AT533" i="1"/>
  <c r="BC542" i="1"/>
  <c r="BC22" i="1"/>
  <c r="AV22" i="1"/>
  <c r="AU12" i="1"/>
  <c r="AV53" i="1"/>
  <c r="BC53" i="1"/>
  <c r="BC48" i="1"/>
  <c r="AV48" i="1"/>
  <c r="AW26" i="1"/>
  <c r="M53" i="1"/>
  <c r="BI200" i="1"/>
  <c r="AE200" i="1" s="1"/>
  <c r="K200" i="1"/>
  <c r="BH273" i="1"/>
  <c r="AD273" i="1" s="1"/>
  <c r="J273" i="1"/>
  <c r="AW273" i="1"/>
  <c r="C27" i="2"/>
  <c r="M21" i="1"/>
  <c r="BF21" i="1"/>
  <c r="J26" i="1"/>
  <c r="AX26" i="1"/>
  <c r="O39" i="1"/>
  <c r="M74" i="1"/>
  <c r="AW79" i="1"/>
  <c r="M86" i="1"/>
  <c r="AW88" i="1"/>
  <c r="BF115" i="1"/>
  <c r="BI119" i="1"/>
  <c r="AC119" i="1" s="1"/>
  <c r="AX119" i="1"/>
  <c r="AV119" i="1" s="1"/>
  <c r="BH131" i="1"/>
  <c r="AB131" i="1" s="1"/>
  <c r="J131" i="1"/>
  <c r="J130" i="1" s="1"/>
  <c r="BF188" i="1"/>
  <c r="BI246" i="1"/>
  <c r="AE246" i="1" s="1"/>
  <c r="K246" i="1"/>
  <c r="AX246" i="1"/>
  <c r="BC246" i="1" s="1"/>
  <c r="BC271" i="1"/>
  <c r="BI112" i="1"/>
  <c r="AC112" i="1" s="1"/>
  <c r="K112" i="1"/>
  <c r="AX112" i="1"/>
  <c r="BC112" i="1" s="1"/>
  <c r="AW55" i="1"/>
  <c r="O59" i="1"/>
  <c r="AX79" i="1"/>
  <c r="AX88" i="1"/>
  <c r="K126" i="1"/>
  <c r="BI131" i="1"/>
  <c r="AC131" i="1" s="1"/>
  <c r="AX131" i="1"/>
  <c r="BC131" i="1" s="1"/>
  <c r="BC232" i="1"/>
  <c r="M15" i="1"/>
  <c r="M12" i="1" s="1"/>
  <c r="BC205" i="1"/>
  <c r="AV33" i="1"/>
  <c r="AW40" i="1"/>
  <c r="AV60" i="1"/>
  <c r="J79" i="1"/>
  <c r="BH81" i="1"/>
  <c r="AB81" i="1" s="1"/>
  <c r="J81" i="1"/>
  <c r="AW81" i="1"/>
  <c r="J88" i="1"/>
  <c r="L155" i="1"/>
  <c r="AL161" i="1"/>
  <c r="M161" i="1"/>
  <c r="M155" i="1" s="1"/>
  <c r="AX200" i="1"/>
  <c r="AV200" i="1" s="1"/>
  <c r="K79" i="1"/>
  <c r="K88" i="1"/>
  <c r="BI102" i="1"/>
  <c r="AC102" i="1" s="1"/>
  <c r="K102" i="1"/>
  <c r="K99" i="1" s="1"/>
  <c r="AX102" i="1"/>
  <c r="BC102" i="1" s="1"/>
  <c r="BI156" i="1"/>
  <c r="AC156" i="1" s="1"/>
  <c r="K156" i="1"/>
  <c r="BC97" i="1"/>
  <c r="M165" i="1"/>
  <c r="J18" i="1"/>
  <c r="M50" i="1"/>
  <c r="M47" i="1" s="1"/>
  <c r="J55" i="1"/>
  <c r="J59" i="1"/>
  <c r="M115" i="1"/>
  <c r="M104" i="1" s="1"/>
  <c r="AV121" i="1"/>
  <c r="AL205" i="1"/>
  <c r="M205" i="1"/>
  <c r="M284" i="1"/>
  <c r="BI26" i="1"/>
  <c r="AC26" i="1" s="1"/>
  <c r="AV207" i="1"/>
  <c r="BC207" i="1"/>
  <c r="BH119" i="1"/>
  <c r="AB119" i="1" s="1"/>
  <c r="J119" i="1"/>
  <c r="AX22" i="1"/>
  <c r="J45" i="1"/>
  <c r="J44" i="1" s="1"/>
  <c r="AX51" i="1"/>
  <c r="AV51" i="1" s="1"/>
  <c r="BI62" i="1"/>
  <c r="AC62" i="1" s="1"/>
  <c r="K62" i="1"/>
  <c r="AS67" i="1"/>
  <c r="BH94" i="1"/>
  <c r="AB94" i="1" s="1"/>
  <c r="J94" i="1"/>
  <c r="BI122" i="1"/>
  <c r="AC122" i="1" s="1"/>
  <c r="K122" i="1"/>
  <c r="AX122" i="1"/>
  <c r="BC122" i="1" s="1"/>
  <c r="L192" i="1"/>
  <c r="AL193" i="1"/>
  <c r="BH216" i="1"/>
  <c r="AD216" i="1" s="1"/>
  <c r="J216" i="1"/>
  <c r="AW216" i="1"/>
  <c r="M72" i="1"/>
  <c r="L12" i="1"/>
  <c r="BH40" i="1"/>
  <c r="AB40" i="1" s="1"/>
  <c r="BH45" i="1"/>
  <c r="AB45" i="1" s="1"/>
  <c r="J51" i="1"/>
  <c r="J52" i="1"/>
  <c r="AW52" i="1"/>
  <c r="AW68" i="1"/>
  <c r="BI94" i="1"/>
  <c r="AC94" i="1" s="1"/>
  <c r="K94" i="1"/>
  <c r="AX94" i="1"/>
  <c r="AL100" i="1"/>
  <c r="AU99" i="1" s="1"/>
  <c r="L99" i="1"/>
  <c r="K131" i="1"/>
  <c r="K130" i="1" s="1"/>
  <c r="BI138" i="1"/>
  <c r="AC138" i="1" s="1"/>
  <c r="K138" i="1"/>
  <c r="AX138" i="1"/>
  <c r="M193" i="1"/>
  <c r="M222" i="1"/>
  <c r="BC414" i="1"/>
  <c r="AV414" i="1"/>
  <c r="BI485" i="1"/>
  <c r="AC485" i="1" s="1"/>
  <c r="K485" i="1"/>
  <c r="AX485" i="1"/>
  <c r="AV485" i="1" s="1"/>
  <c r="M43" i="1"/>
  <c r="M39" i="1" s="1"/>
  <c r="BC110" i="1"/>
  <c r="BH191" i="1"/>
  <c r="J191" i="1"/>
  <c r="AW191" i="1"/>
  <c r="BI372" i="1"/>
  <c r="AE372" i="1" s="1"/>
  <c r="K372" i="1"/>
  <c r="AX372" i="1"/>
  <c r="AV372" i="1" s="1"/>
  <c r="C20" i="2"/>
  <c r="AW13" i="1"/>
  <c r="BH18" i="1"/>
  <c r="AB18" i="1" s="1"/>
  <c r="K22" i="1"/>
  <c r="BI42" i="1"/>
  <c r="AC42" i="1" s="1"/>
  <c r="K42" i="1"/>
  <c r="K39" i="1" s="1"/>
  <c r="J13" i="1"/>
  <c r="J12" i="1" s="1"/>
  <c r="AX13" i="1"/>
  <c r="BI18" i="1"/>
  <c r="AC18" i="1" s="1"/>
  <c r="K13" i="1"/>
  <c r="K12" i="1" s="1"/>
  <c r="J28" i="1"/>
  <c r="M33" i="1"/>
  <c r="M32" i="1" s="1"/>
  <c r="AW42" i="1"/>
  <c r="K51" i="1"/>
  <c r="AW62" i="1"/>
  <c r="J68" i="1"/>
  <c r="AL72" i="1"/>
  <c r="AV83" i="1"/>
  <c r="AW94" i="1"/>
  <c r="M100" i="1"/>
  <c r="M99" i="1" s="1"/>
  <c r="L104" i="1"/>
  <c r="BH105" i="1"/>
  <c r="AB105" i="1" s="1"/>
  <c r="J105" i="1"/>
  <c r="BC138" i="1"/>
  <c r="BF193" i="1"/>
  <c r="O192" i="1"/>
  <c r="AL265" i="1"/>
  <c r="M265" i="1"/>
  <c r="BH419" i="1"/>
  <c r="AD419" i="1" s="1"/>
  <c r="J419" i="1"/>
  <c r="AW419" i="1"/>
  <c r="AV401" i="1"/>
  <c r="BC401" i="1"/>
  <c r="M85" i="1"/>
  <c r="BI105" i="1"/>
  <c r="AC105" i="1" s="1"/>
  <c r="AX105" i="1"/>
  <c r="AX35" i="1"/>
  <c r="BC35" i="1" s="1"/>
  <c r="BC63" i="1"/>
  <c r="AV63" i="1"/>
  <c r="L67" i="1"/>
  <c r="BI72" i="1"/>
  <c r="AC72" i="1" s="1"/>
  <c r="K72" i="1"/>
  <c r="BH85" i="1"/>
  <c r="AB85" i="1" s="1"/>
  <c r="J85" i="1"/>
  <c r="BH124" i="1"/>
  <c r="AB124" i="1" s="1"/>
  <c r="J124" i="1"/>
  <c r="J123" i="1" s="1"/>
  <c r="BH145" i="1"/>
  <c r="AB145" i="1" s="1"/>
  <c r="J145" i="1"/>
  <c r="BH312" i="1"/>
  <c r="AD312" i="1" s="1"/>
  <c r="J312" i="1"/>
  <c r="AW312" i="1"/>
  <c r="BI129" i="1"/>
  <c r="AC129" i="1" s="1"/>
  <c r="K129" i="1"/>
  <c r="AX129" i="1"/>
  <c r="BI216" i="1"/>
  <c r="AE216" i="1" s="1"/>
  <c r="AX216" i="1"/>
  <c r="K216" i="1"/>
  <c r="AX156" i="1"/>
  <c r="BH22" i="1"/>
  <c r="AB22" i="1" s="1"/>
  <c r="AL85" i="1"/>
  <c r="AU67" i="1" s="1"/>
  <c r="L20" i="1"/>
  <c r="AW23" i="1"/>
  <c r="AW30" i="1"/>
  <c r="J35" i="1"/>
  <c r="J32" i="1" s="1"/>
  <c r="J42" i="1"/>
  <c r="J39" i="1" s="1"/>
  <c r="AL48" i="1"/>
  <c r="AW57" i="1"/>
  <c r="BI85" i="1"/>
  <c r="AC85" i="1" s="1"/>
  <c r="K85" i="1"/>
  <c r="AX85" i="1"/>
  <c r="AW105" i="1"/>
  <c r="BI124" i="1"/>
  <c r="AC124" i="1" s="1"/>
  <c r="AX124" i="1"/>
  <c r="AV124" i="1" s="1"/>
  <c r="BI145" i="1"/>
  <c r="AC145" i="1" s="1"/>
  <c r="AX145" i="1"/>
  <c r="BC145" i="1" s="1"/>
  <c r="AU167" i="1"/>
  <c r="BC172" i="1"/>
  <c r="AV172" i="1"/>
  <c r="BH293" i="1"/>
  <c r="AD293" i="1" s="1"/>
  <c r="J293" i="1"/>
  <c r="BI312" i="1"/>
  <c r="AE312" i="1" s="1"/>
  <c r="AX312" i="1"/>
  <c r="K312" i="1"/>
  <c r="BH398" i="1"/>
  <c r="AD398" i="1" s="1"/>
  <c r="J398" i="1"/>
  <c r="AW398" i="1"/>
  <c r="BI617" i="1"/>
  <c r="K617" i="1"/>
  <c r="AX617" i="1"/>
  <c r="AV617" i="1" s="1"/>
  <c r="AV28" i="1"/>
  <c r="AX57" i="1"/>
  <c r="J62" i="1"/>
  <c r="AW72" i="1"/>
  <c r="BI293" i="1"/>
  <c r="AE293" i="1" s="1"/>
  <c r="K293" i="1"/>
  <c r="AX293" i="1"/>
  <c r="BI398" i="1"/>
  <c r="AE398" i="1" s="1"/>
  <c r="K398" i="1"/>
  <c r="AX398" i="1"/>
  <c r="BC21" i="1"/>
  <c r="L39" i="1"/>
  <c r="BI55" i="1"/>
  <c r="AC55" i="1" s="1"/>
  <c r="K55" i="1"/>
  <c r="BH246" i="1"/>
  <c r="AD246" i="1" s="1"/>
  <c r="J246" i="1"/>
  <c r="AV362" i="1"/>
  <c r="BC362" i="1"/>
  <c r="AX18" i="1"/>
  <c r="AV18" i="1" s="1"/>
  <c r="AV45" i="1"/>
  <c r="J22" i="1"/>
  <c r="M55" i="1"/>
  <c r="BH28" i="1"/>
  <c r="AB28" i="1" s="1"/>
  <c r="K35" i="1"/>
  <c r="K32" i="1" s="1"/>
  <c r="AW15" i="1"/>
  <c r="BI48" i="1"/>
  <c r="AC48" i="1" s="1"/>
  <c r="K48" i="1"/>
  <c r="BH52" i="1"/>
  <c r="AB52" i="1" s="1"/>
  <c r="M62" i="1"/>
  <c r="M59" i="1" s="1"/>
  <c r="AX72" i="1"/>
  <c r="AW85" i="1"/>
  <c r="BC124" i="1"/>
  <c r="M133" i="1"/>
  <c r="BI174" i="1"/>
  <c r="AC174" i="1" s="1"/>
  <c r="K174" i="1"/>
  <c r="AX174" i="1"/>
  <c r="M337" i="1"/>
  <c r="AV380" i="1"/>
  <c r="BC380" i="1"/>
  <c r="BC65" i="1"/>
  <c r="BI191" i="1"/>
  <c r="K191" i="1"/>
  <c r="AX191" i="1"/>
  <c r="M26" i="1"/>
  <c r="O56" i="1"/>
  <c r="AW43" i="1"/>
  <c r="O47" i="1"/>
  <c r="K57" i="1"/>
  <c r="K56" i="1" s="1"/>
  <c r="BC74" i="1"/>
  <c r="AV74" i="1"/>
  <c r="BC86" i="1"/>
  <c r="AV86" i="1"/>
  <c r="K105" i="1"/>
  <c r="AL112" i="1"/>
  <c r="AU104" i="1" s="1"/>
  <c r="O133" i="1"/>
  <c r="AU155" i="1"/>
  <c r="BI163" i="1"/>
  <c r="AC163" i="1" s="1"/>
  <c r="K163" i="1"/>
  <c r="AX163" i="1"/>
  <c r="AV163" i="1" s="1"/>
  <c r="AW174" i="1"/>
  <c r="BH179" i="1"/>
  <c r="AB179" i="1" s="1"/>
  <c r="J179" i="1"/>
  <c r="AW179" i="1"/>
  <c r="AW293" i="1"/>
  <c r="L47" i="1"/>
  <c r="BH156" i="1"/>
  <c r="AB156" i="1" s="1"/>
  <c r="AW156" i="1"/>
  <c r="BC161" i="1"/>
  <c r="BF172" i="1"/>
  <c r="L183" i="1"/>
  <c r="BH238" i="1"/>
  <c r="AD238" i="1" s="1"/>
  <c r="J238" i="1"/>
  <c r="AL249" i="1"/>
  <c r="BI273" i="1"/>
  <c r="AE273" i="1" s="1"/>
  <c r="AX273" i="1"/>
  <c r="AT386" i="1"/>
  <c r="BC402" i="1"/>
  <c r="BF433" i="1"/>
  <c r="O430" i="1"/>
  <c r="BI238" i="1"/>
  <c r="AE238" i="1" s="1"/>
  <c r="AX238" i="1"/>
  <c r="BC238" i="1" s="1"/>
  <c r="BI295" i="1"/>
  <c r="AE295" i="1" s="1"/>
  <c r="K295" i="1"/>
  <c r="AX295" i="1"/>
  <c r="BC295" i="1" s="1"/>
  <c r="BC381" i="1"/>
  <c r="K202" i="1"/>
  <c r="AX202" i="1"/>
  <c r="M232" i="1"/>
  <c r="AV238" i="1"/>
  <c r="BI249" i="1"/>
  <c r="AE249" i="1" s="1"/>
  <c r="K249" i="1"/>
  <c r="AX249" i="1"/>
  <c r="AV249" i="1" s="1"/>
  <c r="AV298" i="1"/>
  <c r="M341" i="1"/>
  <c r="M431" i="1"/>
  <c r="L430" i="1"/>
  <c r="AL431" i="1"/>
  <c r="AV129" i="1"/>
  <c r="AV138" i="1"/>
  <c r="AW151" i="1"/>
  <c r="J163" i="1"/>
  <c r="AW202" i="1"/>
  <c r="M311" i="1"/>
  <c r="AW320" i="1"/>
  <c r="M348" i="1"/>
  <c r="AX151" i="1"/>
  <c r="K238" i="1"/>
  <c r="M271" i="1"/>
  <c r="BH301" i="1"/>
  <c r="AD301" i="1" s="1"/>
  <c r="J301" i="1"/>
  <c r="M343" i="1"/>
  <c r="M425" i="1"/>
  <c r="AL425" i="1"/>
  <c r="AL586" i="1"/>
  <c r="L567" i="1"/>
  <c r="M586" i="1"/>
  <c r="J102" i="1"/>
  <c r="J99" i="1" s="1"/>
  <c r="J112" i="1"/>
  <c r="J122" i="1"/>
  <c r="J129" i="1"/>
  <c r="J126" i="1" s="1"/>
  <c r="J138" i="1"/>
  <c r="J151" i="1"/>
  <c r="AL165" i="1"/>
  <c r="J168" i="1"/>
  <c r="J167" i="1" s="1"/>
  <c r="AX168" i="1"/>
  <c r="AV168" i="1" s="1"/>
  <c r="M179" i="1"/>
  <c r="M178" i="1" s="1"/>
  <c r="J184" i="1"/>
  <c r="J183" i="1" s="1"/>
  <c r="AX184" i="1"/>
  <c r="BH202" i="1"/>
  <c r="AD202" i="1" s="1"/>
  <c r="AW209" i="1"/>
  <c r="BH254" i="1"/>
  <c r="AD254" i="1" s="1"/>
  <c r="J254" i="1"/>
  <c r="K273" i="1"/>
  <c r="AW278" i="1"/>
  <c r="AL281" i="1"/>
  <c r="M293" i="1"/>
  <c r="BI301" i="1"/>
  <c r="AE301" i="1" s="1"/>
  <c r="AX301" i="1"/>
  <c r="BC301" i="1" s="1"/>
  <c r="BI321" i="1"/>
  <c r="AE321" i="1" s="1"/>
  <c r="K321" i="1"/>
  <c r="AX321" i="1"/>
  <c r="AV321" i="1" s="1"/>
  <c r="M362" i="1"/>
  <c r="AL401" i="1"/>
  <c r="M401" i="1"/>
  <c r="BF497" i="1"/>
  <c r="O484" i="1"/>
  <c r="K151" i="1"/>
  <c r="K168" i="1"/>
  <c r="AW176" i="1"/>
  <c r="K184" i="1"/>
  <c r="AS192" i="1"/>
  <c r="BI202" i="1"/>
  <c r="AE202" i="1" s="1"/>
  <c r="AV204" i="1"/>
  <c r="AX209" i="1"/>
  <c r="BI254" i="1"/>
  <c r="AE254" i="1" s="1"/>
  <c r="AX254" i="1"/>
  <c r="AX278" i="1"/>
  <c r="AV301" i="1"/>
  <c r="M380" i="1"/>
  <c r="L167" i="1"/>
  <c r="AT192" i="1"/>
  <c r="K211" i="1"/>
  <c r="AX211" i="1"/>
  <c r="AV211" i="1" s="1"/>
  <c r="BI281" i="1"/>
  <c r="AE281" i="1" s="1"/>
  <c r="K281" i="1"/>
  <c r="AX281" i="1"/>
  <c r="AV281" i="1" s="1"/>
  <c r="J320" i="1"/>
  <c r="AW90" i="1"/>
  <c r="AW108" i="1"/>
  <c r="AW120" i="1"/>
  <c r="AW147" i="1"/>
  <c r="J159" i="1"/>
  <c r="AX159" i="1"/>
  <c r="BC159" i="1" s="1"/>
  <c r="M168" i="1"/>
  <c r="M167" i="1" s="1"/>
  <c r="K176" i="1"/>
  <c r="AW181" i="1"/>
  <c r="AX204" i="1"/>
  <c r="BC204" i="1" s="1"/>
  <c r="J209" i="1"/>
  <c r="AW222" i="1"/>
  <c r="AW254" i="1"/>
  <c r="K320" i="1"/>
  <c r="BH337" i="1"/>
  <c r="AD337" i="1" s="1"/>
  <c r="J337" i="1"/>
  <c r="AL389" i="1"/>
  <c r="AU386" i="1" s="1"/>
  <c r="L386" i="1"/>
  <c r="M389" i="1"/>
  <c r="J90" i="1"/>
  <c r="J108" i="1"/>
  <c r="J120" i="1"/>
  <c r="J147" i="1"/>
  <c r="AX147" i="1"/>
  <c r="K159" i="1"/>
  <c r="AW165" i="1"/>
  <c r="AX181" i="1"/>
  <c r="J204" i="1"/>
  <c r="K209" i="1"/>
  <c r="J278" i="1"/>
  <c r="BC322" i="1"/>
  <c r="BH323" i="1"/>
  <c r="AD323" i="1" s="1"/>
  <c r="J323" i="1"/>
  <c r="K337" i="1"/>
  <c r="AX337" i="1"/>
  <c r="O386" i="1"/>
  <c r="BF560" i="1"/>
  <c r="O533" i="1"/>
  <c r="BH598" i="1"/>
  <c r="AF598" i="1" s="1"/>
  <c r="J598" i="1"/>
  <c r="AW598" i="1"/>
  <c r="C21" i="2"/>
  <c r="K28" i="1"/>
  <c r="K45" i="1"/>
  <c r="K44" i="1" s="1"/>
  <c r="K52" i="1"/>
  <c r="K81" i="1"/>
  <c r="K90" i="1"/>
  <c r="K108" i="1"/>
  <c r="K120" i="1"/>
  <c r="K147" i="1"/>
  <c r="K133" i="1" s="1"/>
  <c r="J165" i="1"/>
  <c r="AX165" i="1"/>
  <c r="J181" i="1"/>
  <c r="K204" i="1"/>
  <c r="K225" i="1"/>
  <c r="AX225" i="1"/>
  <c r="BC225" i="1" s="1"/>
  <c r="K278" i="1"/>
  <c r="M298" i="1"/>
  <c r="M320" i="1"/>
  <c r="BI323" i="1"/>
  <c r="AE323" i="1" s="1"/>
  <c r="AX323" i="1"/>
  <c r="BC323" i="1" s="1"/>
  <c r="BI534" i="1"/>
  <c r="AC534" i="1" s="1"/>
  <c r="K534" i="1"/>
  <c r="AX534" i="1"/>
  <c r="AV534" i="1" s="1"/>
  <c r="AV115" i="1"/>
  <c r="L126" i="1"/>
  <c r="L133" i="1"/>
  <c r="AV142" i="1"/>
  <c r="K181" i="1"/>
  <c r="K178" i="1" s="1"/>
  <c r="AV188" i="1"/>
  <c r="AV212" i="1"/>
  <c r="J222" i="1"/>
  <c r="AW242" i="1"/>
  <c r="AV265" i="1"/>
  <c r="BC284" i="1"/>
  <c r="BH287" i="1"/>
  <c r="AD287" i="1" s="1"/>
  <c r="J287" i="1"/>
  <c r="K301" i="1"/>
  <c r="AW305" i="1"/>
  <c r="AL308" i="1"/>
  <c r="AV323" i="1"/>
  <c r="AW337" i="1"/>
  <c r="BI340" i="1"/>
  <c r="AE340" i="1" s="1"/>
  <c r="K340" i="1"/>
  <c r="AX340" i="1"/>
  <c r="AV340" i="1" s="1"/>
  <c r="BC427" i="1"/>
  <c r="AV427" i="1"/>
  <c r="BF610" i="1"/>
  <c r="O602" i="1"/>
  <c r="BI211" i="1"/>
  <c r="AE211" i="1" s="1"/>
  <c r="AL268" i="1"/>
  <c r="BI287" i="1"/>
  <c r="AE287" i="1" s="1"/>
  <c r="AX287" i="1"/>
  <c r="BI428" i="1"/>
  <c r="AE428" i="1" s="1"/>
  <c r="K428" i="1"/>
  <c r="AX428" i="1"/>
  <c r="AV428" i="1" s="1"/>
  <c r="BC534" i="1"/>
  <c r="K243" i="1"/>
  <c r="AX243" i="1"/>
  <c r="BC243" i="1" s="1"/>
  <c r="BI308" i="1"/>
  <c r="AE308" i="1" s="1"/>
  <c r="K308" i="1"/>
  <c r="AX308" i="1"/>
  <c r="AV308" i="1" s="1"/>
  <c r="BH348" i="1"/>
  <c r="AD348" i="1" s="1"/>
  <c r="J348" i="1"/>
  <c r="BH404" i="1"/>
  <c r="AD404" i="1" s="1"/>
  <c r="J404" i="1"/>
  <c r="AW404" i="1"/>
  <c r="BH595" i="1"/>
  <c r="AF595" i="1" s="1"/>
  <c r="J595" i="1"/>
  <c r="AW595" i="1"/>
  <c r="J242" i="1"/>
  <c r="BI268" i="1"/>
  <c r="AE268" i="1" s="1"/>
  <c r="K268" i="1"/>
  <c r="AX268" i="1"/>
  <c r="AV268" i="1" s="1"/>
  <c r="AW287" i="1"/>
  <c r="AV311" i="1"/>
  <c r="BI337" i="1"/>
  <c r="AE337" i="1" s="1"/>
  <c r="BI348" i="1"/>
  <c r="AE348" i="1" s="1"/>
  <c r="K348" i="1"/>
  <c r="AX348" i="1"/>
  <c r="BC348" i="1" s="1"/>
  <c r="BH372" i="1"/>
  <c r="AD372" i="1" s="1"/>
  <c r="J372" i="1"/>
  <c r="BI404" i="1"/>
  <c r="AE404" i="1" s="1"/>
  <c r="K404" i="1"/>
  <c r="AX404" i="1"/>
  <c r="BH450" i="1"/>
  <c r="AD450" i="1" s="1"/>
  <c r="J450" i="1"/>
  <c r="J449" i="1" s="1"/>
  <c r="BC487" i="1"/>
  <c r="AV487" i="1"/>
  <c r="BI595" i="1"/>
  <c r="AG595" i="1" s="1"/>
  <c r="K595" i="1"/>
  <c r="AX595" i="1"/>
  <c r="AL381" i="1"/>
  <c r="AL395" i="1"/>
  <c r="M407" i="1"/>
  <c r="M414" i="1"/>
  <c r="M427" i="1"/>
  <c r="AL427" i="1"/>
  <c r="BI450" i="1"/>
  <c r="AE450" i="1" s="1"/>
  <c r="K450" i="1"/>
  <c r="K449" i="1" s="1"/>
  <c r="AX450" i="1"/>
  <c r="BF499" i="1"/>
  <c r="O498" i="1"/>
  <c r="M529" i="1"/>
  <c r="BH540" i="1"/>
  <c r="AB540" i="1" s="1"/>
  <c r="J540" i="1"/>
  <c r="BH568" i="1"/>
  <c r="AF568" i="1" s="1"/>
  <c r="J568" i="1"/>
  <c r="BC593" i="1"/>
  <c r="M411" i="1"/>
  <c r="M435" i="1"/>
  <c r="AW450" i="1"/>
  <c r="AV488" i="1"/>
  <c r="BH507" i="1"/>
  <c r="AB507" i="1" s="1"/>
  <c r="J507" i="1"/>
  <c r="J506" i="1" s="1"/>
  <c r="BI540" i="1"/>
  <c r="AC540" i="1" s="1"/>
  <c r="K540" i="1"/>
  <c r="AX540" i="1"/>
  <c r="BI568" i="1"/>
  <c r="AG568" i="1" s="1"/>
  <c r="K568" i="1"/>
  <c r="AX568" i="1"/>
  <c r="O616" i="1"/>
  <c r="AX419" i="1"/>
  <c r="AV429" i="1"/>
  <c r="BH489" i="1"/>
  <c r="AB489" i="1" s="1"/>
  <c r="J489" i="1"/>
  <c r="BI507" i="1"/>
  <c r="AC507" i="1" s="1"/>
  <c r="K507" i="1"/>
  <c r="AX507" i="1"/>
  <c r="BC507" i="1" s="1"/>
  <c r="AW540" i="1"/>
  <c r="AW568" i="1"/>
  <c r="AX598" i="1"/>
  <c r="AW625" i="1"/>
  <c r="AV408" i="1"/>
  <c r="AW412" i="1"/>
  <c r="J484" i="1"/>
  <c r="BI489" i="1"/>
  <c r="AC489" i="1" s="1"/>
  <c r="K489" i="1"/>
  <c r="AX489" i="1"/>
  <c r="AW573" i="1"/>
  <c r="AX625" i="1"/>
  <c r="BH631" i="1"/>
  <c r="J631" i="1"/>
  <c r="K419" i="1"/>
  <c r="BC489" i="1"/>
  <c r="AV489" i="1"/>
  <c r="J625" i="1"/>
  <c r="BI631" i="1"/>
  <c r="K631" i="1"/>
  <c r="AX631" i="1"/>
  <c r="J343" i="1"/>
  <c r="AX343" i="1"/>
  <c r="AV343" i="1" s="1"/>
  <c r="J364" i="1"/>
  <c r="AX364" i="1"/>
  <c r="AV364" i="1" s="1"/>
  <c r="J381" i="1"/>
  <c r="AX381" i="1"/>
  <c r="AV381" i="1" s="1"/>
  <c r="J395" i="1"/>
  <c r="AX395" i="1"/>
  <c r="AV395" i="1" s="1"/>
  <c r="J402" i="1"/>
  <c r="AX402" i="1"/>
  <c r="J408" i="1"/>
  <c r="BI421" i="1"/>
  <c r="AE421" i="1" s="1"/>
  <c r="K421" i="1"/>
  <c r="M428" i="1"/>
  <c r="BH440" i="1"/>
  <c r="AD440" i="1" s="1"/>
  <c r="J440" i="1"/>
  <c r="AW472" i="1"/>
  <c r="L506" i="1"/>
  <c r="AW517" i="1"/>
  <c r="AX544" i="1"/>
  <c r="AV544" i="1" s="1"/>
  <c r="AV549" i="1"/>
  <c r="BH551" i="1"/>
  <c r="AB551" i="1" s="1"/>
  <c r="J551" i="1"/>
  <c r="BH578" i="1"/>
  <c r="AF578" i="1" s="1"/>
  <c r="J578" i="1"/>
  <c r="M597" i="1"/>
  <c r="K625" i="1"/>
  <c r="AW631" i="1"/>
  <c r="K402" i="1"/>
  <c r="AV421" i="1"/>
  <c r="BI440" i="1"/>
  <c r="AE440" i="1" s="1"/>
  <c r="K440" i="1"/>
  <c r="AX440" i="1"/>
  <c r="AV440" i="1" s="1"/>
  <c r="AX472" i="1"/>
  <c r="AW494" i="1"/>
  <c r="AX517" i="1"/>
  <c r="BI551" i="1"/>
  <c r="AC551" i="1" s="1"/>
  <c r="K551" i="1"/>
  <c r="AX551" i="1"/>
  <c r="BC551" i="1" s="1"/>
  <c r="O567" i="1"/>
  <c r="BI578" i="1"/>
  <c r="AG578" i="1" s="1"/>
  <c r="K578" i="1"/>
  <c r="AX578" i="1"/>
  <c r="BC578" i="1" s="1"/>
  <c r="K598" i="1"/>
  <c r="BH603" i="1"/>
  <c r="AF603" i="1" s="1"/>
  <c r="J603" i="1"/>
  <c r="BC443" i="1"/>
  <c r="AV443" i="1"/>
  <c r="BC477" i="1"/>
  <c r="AV477" i="1"/>
  <c r="AX494" i="1"/>
  <c r="J573" i="1"/>
  <c r="BI603" i="1"/>
  <c r="AG603" i="1" s="1"/>
  <c r="K603" i="1"/>
  <c r="AX603" i="1"/>
  <c r="BH431" i="1"/>
  <c r="AD431" i="1" s="1"/>
  <c r="J431" i="1"/>
  <c r="J430" i="1" s="1"/>
  <c r="BC440" i="1"/>
  <c r="M450" i="1"/>
  <c r="M449" i="1" s="1"/>
  <c r="BH523" i="1"/>
  <c r="AB523" i="1" s="1"/>
  <c r="J523" i="1"/>
  <c r="J544" i="1"/>
  <c r="K573" i="1"/>
  <c r="AW603" i="1"/>
  <c r="J249" i="1"/>
  <c r="J268" i="1"/>
  <c r="J281" i="1"/>
  <c r="J295" i="1"/>
  <c r="J308" i="1"/>
  <c r="J321" i="1"/>
  <c r="J340" i="1"/>
  <c r="J355" i="1"/>
  <c r="AX355" i="1"/>
  <c r="AV355" i="1" s="1"/>
  <c r="J377" i="1"/>
  <c r="AX377" i="1"/>
  <c r="AV377" i="1" s="1"/>
  <c r="J387" i="1"/>
  <c r="AX387" i="1"/>
  <c r="AV387" i="1" s="1"/>
  <c r="J400" i="1"/>
  <c r="AX400" i="1"/>
  <c r="AV400" i="1" s="1"/>
  <c r="J406" i="1"/>
  <c r="AX406" i="1"/>
  <c r="AV406" i="1" s="1"/>
  <c r="BI431" i="1"/>
  <c r="AE431" i="1" s="1"/>
  <c r="K431" i="1"/>
  <c r="AX431" i="1"/>
  <c r="J472" i="1"/>
  <c r="J517" i="1"/>
  <c r="BI523" i="1"/>
  <c r="AC523" i="1" s="1"/>
  <c r="K523" i="1"/>
  <c r="AX523" i="1"/>
  <c r="K544" i="1"/>
  <c r="AW556" i="1"/>
  <c r="AW582" i="1"/>
  <c r="AW607" i="1"/>
  <c r="BH612" i="1"/>
  <c r="AF612" i="1" s="1"/>
  <c r="J612" i="1"/>
  <c r="M629" i="1"/>
  <c r="M616" i="1" s="1"/>
  <c r="AW634" i="1"/>
  <c r="K355" i="1"/>
  <c r="K377" i="1"/>
  <c r="K387" i="1"/>
  <c r="K400" i="1"/>
  <c r="K406" i="1"/>
  <c r="AS413" i="1"/>
  <c r="AW445" i="1"/>
  <c r="K472" i="1"/>
  <c r="M488" i="1"/>
  <c r="J494" i="1"/>
  <c r="K517" i="1"/>
  <c r="AW523" i="1"/>
  <c r="AX556" i="1"/>
  <c r="BH562" i="1"/>
  <c r="AB562" i="1" s="1"/>
  <c r="J562" i="1"/>
  <c r="AX582" i="1"/>
  <c r="AX607" i="1"/>
  <c r="BI612" i="1"/>
  <c r="AG612" i="1" s="1"/>
  <c r="K612" i="1"/>
  <c r="AX612" i="1"/>
  <c r="AX634" i="1"/>
  <c r="AW409" i="1"/>
  <c r="BI425" i="1"/>
  <c r="AE425" i="1" s="1"/>
  <c r="K425" i="1"/>
  <c r="AX425" i="1"/>
  <c r="AW431" i="1"/>
  <c r="BC433" i="1"/>
  <c r="AV433" i="1"/>
  <c r="AX445" i="1"/>
  <c r="K494" i="1"/>
  <c r="J498" i="1"/>
  <c r="BI562" i="1"/>
  <c r="AC562" i="1" s="1"/>
  <c r="K562" i="1"/>
  <c r="AX562" i="1"/>
  <c r="BC610" i="1"/>
  <c r="AW612" i="1"/>
  <c r="J634" i="1"/>
  <c r="AW335" i="1"/>
  <c r="AW345" i="1"/>
  <c r="AW370" i="1"/>
  <c r="AW385" i="1"/>
  <c r="AW396" i="1"/>
  <c r="AW403" i="1"/>
  <c r="AX409" i="1"/>
  <c r="AW526" i="1"/>
  <c r="M549" i="1"/>
  <c r="BC560" i="1"/>
  <c r="AW562" i="1"/>
  <c r="BH587" i="1"/>
  <c r="AF587" i="1" s="1"/>
  <c r="J587" i="1"/>
  <c r="AW614" i="1"/>
  <c r="K634" i="1"/>
  <c r="AX263" i="1"/>
  <c r="AV263" i="1" s="1"/>
  <c r="AX275" i="1"/>
  <c r="AV275" i="1" s="1"/>
  <c r="AX290" i="1"/>
  <c r="AV290" i="1" s="1"/>
  <c r="AX303" i="1"/>
  <c r="AV303" i="1" s="1"/>
  <c r="AX317" i="1"/>
  <c r="AV317" i="1" s="1"/>
  <c r="AX335" i="1"/>
  <c r="AX345" i="1"/>
  <c r="AX370" i="1"/>
  <c r="AX385" i="1"/>
  <c r="AX396" i="1"/>
  <c r="AX403" i="1"/>
  <c r="J409" i="1"/>
  <c r="L413" i="1"/>
  <c r="J423" i="1"/>
  <c r="AW425" i="1"/>
  <c r="BH482" i="1"/>
  <c r="AB482" i="1" s="1"/>
  <c r="J482" i="1"/>
  <c r="J481" i="1" s="1"/>
  <c r="AX526" i="1"/>
  <c r="AV529" i="1"/>
  <c r="BH531" i="1"/>
  <c r="AB531" i="1" s="1"/>
  <c r="J531" i="1"/>
  <c r="J556" i="1"/>
  <c r="M576" i="1"/>
  <c r="M580" i="1"/>
  <c r="J582" i="1"/>
  <c r="BI587" i="1"/>
  <c r="AG587" i="1" s="1"/>
  <c r="K587" i="1"/>
  <c r="AX587" i="1"/>
  <c r="M605" i="1"/>
  <c r="M602" i="1" s="1"/>
  <c r="J607" i="1"/>
  <c r="AX614" i="1"/>
  <c r="K409" i="1"/>
  <c r="BC411" i="1"/>
  <c r="BH423" i="1"/>
  <c r="AD423" i="1" s="1"/>
  <c r="AW435" i="1"/>
  <c r="M440" i="1"/>
  <c r="M439" i="1" s="1"/>
  <c r="J445" i="1"/>
  <c r="BI482" i="1"/>
  <c r="AC482" i="1" s="1"/>
  <c r="K482" i="1"/>
  <c r="K481" i="1" s="1"/>
  <c r="AX482" i="1"/>
  <c r="BI531" i="1"/>
  <c r="AC531" i="1" s="1"/>
  <c r="K531" i="1"/>
  <c r="AX531" i="1"/>
  <c r="K556" i="1"/>
  <c r="K582" i="1"/>
  <c r="AW587" i="1"/>
  <c r="K607" i="1"/>
  <c r="AT616" i="1"/>
  <c r="BH425" i="1"/>
  <c r="AD425" i="1" s="1"/>
  <c r="AX435" i="1"/>
  <c r="K445" i="1"/>
  <c r="AW482" i="1"/>
  <c r="M521" i="1"/>
  <c r="M506" i="1" s="1"/>
  <c r="AW531" i="1"/>
  <c r="AV411" i="1"/>
  <c r="AW501" i="1"/>
  <c r="J526" i="1"/>
  <c r="AW590" i="1"/>
  <c r="J614" i="1"/>
  <c r="BH617" i="1"/>
  <c r="J617" i="1"/>
  <c r="F14" i="2"/>
  <c r="L498" i="1"/>
  <c r="AL433" i="1"/>
  <c r="AL443" i="1"/>
  <c r="AU439" i="1" s="1"/>
  <c r="AW495" i="1"/>
  <c r="AW504" i="1"/>
  <c r="AW519" i="1"/>
  <c r="AW527" i="1"/>
  <c r="AW536" i="1"/>
  <c r="AL542" i="1"/>
  <c r="AW547" i="1"/>
  <c r="AL554" i="1"/>
  <c r="AU533" i="1" s="1"/>
  <c r="AW558" i="1"/>
  <c r="AL564" i="1"/>
  <c r="AW566" i="1"/>
  <c r="AL570" i="1"/>
  <c r="AW574" i="1"/>
  <c r="AL580" i="1"/>
  <c r="AW584" i="1"/>
  <c r="AL589" i="1"/>
  <c r="AW591" i="1"/>
  <c r="AL597" i="1"/>
  <c r="AW600" i="1"/>
  <c r="AW609" i="1"/>
  <c r="AW615" i="1"/>
  <c r="AW627" i="1"/>
  <c r="J527" i="1"/>
  <c r="AX527" i="1"/>
  <c r="J536" i="1"/>
  <c r="AX536" i="1"/>
  <c r="J547" i="1"/>
  <c r="AX547" i="1"/>
  <c r="J558" i="1"/>
  <c r="AX558" i="1"/>
  <c r="J566" i="1"/>
  <c r="J565" i="1" s="1"/>
  <c r="AX566" i="1"/>
  <c r="J574" i="1"/>
  <c r="AX574" i="1"/>
  <c r="J584" i="1"/>
  <c r="AX584" i="1"/>
  <c r="J591" i="1"/>
  <c r="AX591" i="1"/>
  <c r="J600" i="1"/>
  <c r="AX600" i="1"/>
  <c r="J609" i="1"/>
  <c r="AX609" i="1"/>
  <c r="J615" i="1"/>
  <c r="AX615" i="1"/>
  <c r="J627" i="1"/>
  <c r="AX627" i="1"/>
  <c r="K429" i="1"/>
  <c r="K436" i="1"/>
  <c r="K448" i="1"/>
  <c r="K477" i="1"/>
  <c r="K487" i="1"/>
  <c r="K495" i="1"/>
  <c r="K504" i="1"/>
  <c r="K498" i="1" s="1"/>
  <c r="K519" i="1"/>
  <c r="K527" i="1"/>
  <c r="K536" i="1"/>
  <c r="K547" i="1"/>
  <c r="K558" i="1"/>
  <c r="K566" i="1"/>
  <c r="K565" i="1" s="1"/>
  <c r="K574" i="1"/>
  <c r="K584" i="1"/>
  <c r="K591" i="1"/>
  <c r="K600" i="1"/>
  <c r="K609" i="1"/>
  <c r="K615" i="1"/>
  <c r="K627" i="1"/>
  <c r="AV492" i="1"/>
  <c r="AV499" i="1"/>
  <c r="AV525" i="1"/>
  <c r="AV542" i="1"/>
  <c r="AV554" i="1"/>
  <c r="AV564" i="1"/>
  <c r="AV570" i="1"/>
  <c r="AV580" i="1"/>
  <c r="AV589" i="1"/>
  <c r="AV597" i="1"/>
  <c r="AW605" i="1"/>
  <c r="AW613" i="1"/>
  <c r="AW618" i="1"/>
  <c r="AW633" i="1"/>
  <c r="L471" i="1"/>
  <c r="L484" i="1"/>
  <c r="L533" i="1"/>
  <c r="M413" i="1" l="1"/>
  <c r="AV423" i="1"/>
  <c r="C15" i="2"/>
  <c r="BC18" i="1"/>
  <c r="J413" i="1"/>
  <c r="J533" i="1"/>
  <c r="AU47" i="1"/>
  <c r="BC275" i="1"/>
  <c r="C19" i="2"/>
  <c r="J192" i="1"/>
  <c r="J133" i="1"/>
  <c r="C16" i="2"/>
  <c r="C18" i="2"/>
  <c r="BC92" i="1"/>
  <c r="AV92" i="1"/>
  <c r="BC586" i="1"/>
  <c r="K20" i="1"/>
  <c r="BC163" i="1"/>
  <c r="C14" i="2"/>
  <c r="C22" i="2" s="1"/>
  <c r="H17" i="3" s="1"/>
  <c r="I17" i="3" s="1"/>
  <c r="K67" i="1"/>
  <c r="BC499" i="1"/>
  <c r="AV578" i="1"/>
  <c r="J155" i="1"/>
  <c r="AV225" i="1"/>
  <c r="K47" i="1"/>
  <c r="AV295" i="1"/>
  <c r="AV127" i="1"/>
  <c r="AV252" i="1"/>
  <c r="AU413" i="1"/>
  <c r="C17" i="2"/>
  <c r="BC193" i="1"/>
  <c r="BC497" i="1"/>
  <c r="K602" i="1"/>
  <c r="K533" i="1"/>
  <c r="BC395" i="1"/>
  <c r="BC617" i="1"/>
  <c r="K59" i="1"/>
  <c r="AV538" i="1"/>
  <c r="M567" i="1"/>
  <c r="J178" i="1"/>
  <c r="AU178" i="1"/>
  <c r="M484" i="1"/>
  <c r="K471" i="1"/>
  <c r="BC515" i="1"/>
  <c r="J471" i="1"/>
  <c r="BC184" i="1"/>
  <c r="J20" i="1"/>
  <c r="AV35" i="1"/>
  <c r="J47" i="1"/>
  <c r="AU506" i="1"/>
  <c r="BC249" i="1"/>
  <c r="BC179" i="1"/>
  <c r="AV179" i="1"/>
  <c r="BC355" i="1"/>
  <c r="BC308" i="1"/>
  <c r="BC30" i="1"/>
  <c r="AV30" i="1"/>
  <c r="BC52" i="1"/>
  <c r="AV52" i="1"/>
  <c r="BC293" i="1"/>
  <c r="AV293" i="1"/>
  <c r="BC607" i="1"/>
  <c r="AV607" i="1"/>
  <c r="K192" i="1"/>
  <c r="BC556" i="1"/>
  <c r="AV556" i="1"/>
  <c r="BC517" i="1"/>
  <c r="AV517" i="1"/>
  <c r="BC625" i="1"/>
  <c r="AV625" i="1"/>
  <c r="AV287" i="1"/>
  <c r="BC287" i="1"/>
  <c r="BC120" i="1"/>
  <c r="AV120" i="1"/>
  <c r="AV174" i="1"/>
  <c r="BC174" i="1"/>
  <c r="BC15" i="1"/>
  <c r="AV15" i="1"/>
  <c r="BC23" i="1"/>
  <c r="AV23" i="1"/>
  <c r="K484" i="1"/>
  <c r="AV102" i="1"/>
  <c r="AV243" i="1"/>
  <c r="BC419" i="1"/>
  <c r="AV419" i="1"/>
  <c r="BC165" i="1"/>
  <c r="AV165" i="1"/>
  <c r="BC108" i="1"/>
  <c r="AV108" i="1"/>
  <c r="AV26" i="1"/>
  <c r="BC26" i="1"/>
  <c r="BC43" i="1"/>
  <c r="AV43" i="1"/>
  <c r="BC68" i="1"/>
  <c r="AV68" i="1"/>
  <c r="BC568" i="1"/>
  <c r="AV568" i="1"/>
  <c r="BC450" i="1"/>
  <c r="AV450" i="1"/>
  <c r="BC263" i="1"/>
  <c r="BC90" i="1"/>
  <c r="AV90" i="1"/>
  <c r="BC278" i="1"/>
  <c r="AV278" i="1"/>
  <c r="BC335" i="1"/>
  <c r="AV335" i="1"/>
  <c r="BC202" i="1"/>
  <c r="AV202" i="1"/>
  <c r="BC574" i="1"/>
  <c r="AV574" i="1"/>
  <c r="BC494" i="1"/>
  <c r="AV494" i="1"/>
  <c r="J439" i="1"/>
  <c r="BC540" i="1"/>
  <c r="AV540" i="1"/>
  <c r="BC544" i="1"/>
  <c r="AV151" i="1"/>
  <c r="BC151" i="1"/>
  <c r="BC51" i="1"/>
  <c r="BC398" i="1"/>
  <c r="AV398" i="1"/>
  <c r="AV501" i="1"/>
  <c r="BC501" i="1"/>
  <c r="AV551" i="1"/>
  <c r="M386" i="1"/>
  <c r="BC321" i="1"/>
  <c r="K183" i="1"/>
  <c r="BC485" i="1"/>
  <c r="J104" i="1"/>
  <c r="L635" i="1"/>
  <c r="BC88" i="1"/>
  <c r="AV88" i="1"/>
  <c r="AV348" i="1"/>
  <c r="BC614" i="1"/>
  <c r="AV614" i="1"/>
  <c r="K413" i="1"/>
  <c r="K506" i="1"/>
  <c r="BC595" i="1"/>
  <c r="AV595" i="1"/>
  <c r="BC242" i="1"/>
  <c r="AV242" i="1"/>
  <c r="BC176" i="1"/>
  <c r="AV176" i="1"/>
  <c r="AV145" i="1"/>
  <c r="BC613" i="1"/>
  <c r="AV613" i="1"/>
  <c r="BC425" i="1"/>
  <c r="AV425" i="1"/>
  <c r="K167" i="1"/>
  <c r="AV13" i="1"/>
  <c r="BC13" i="1"/>
  <c r="M192" i="1"/>
  <c r="AV131" i="1"/>
  <c r="AV79" i="1"/>
  <c r="BC79" i="1"/>
  <c r="BC618" i="1"/>
  <c r="AV618" i="1"/>
  <c r="BC612" i="1"/>
  <c r="AV612" i="1"/>
  <c r="BC558" i="1"/>
  <c r="AV558" i="1"/>
  <c r="M67" i="1"/>
  <c r="BC55" i="1"/>
  <c r="AV55" i="1"/>
  <c r="BC591" i="1"/>
  <c r="AV591" i="1"/>
  <c r="BC562" i="1"/>
  <c r="AV562" i="1"/>
  <c r="BC431" i="1"/>
  <c r="AV431" i="1"/>
  <c r="BC547" i="1"/>
  <c r="AV547" i="1"/>
  <c r="BC482" i="1"/>
  <c r="AV482" i="1"/>
  <c r="BC526" i="1"/>
  <c r="AV526" i="1"/>
  <c r="BC364" i="1"/>
  <c r="BC290" i="1"/>
  <c r="K104" i="1"/>
  <c r="BC94" i="1"/>
  <c r="AV94" i="1"/>
  <c r="BC377" i="1"/>
  <c r="BC216" i="1"/>
  <c r="AV216" i="1"/>
  <c r="BC81" i="1"/>
  <c r="AV81" i="1"/>
  <c r="BC119" i="1"/>
  <c r="BC600" i="1"/>
  <c r="AV600" i="1"/>
  <c r="BC337" i="1"/>
  <c r="AV337" i="1"/>
  <c r="J386" i="1"/>
  <c r="J616" i="1"/>
  <c r="BC305" i="1"/>
  <c r="AV305" i="1"/>
  <c r="BC584" i="1"/>
  <c r="AV584" i="1"/>
  <c r="BC209" i="1"/>
  <c r="AV209" i="1"/>
  <c r="K430" i="1"/>
  <c r="BC603" i="1"/>
  <c r="AV603" i="1"/>
  <c r="BC573" i="1"/>
  <c r="AV573" i="1"/>
  <c r="BC428" i="1"/>
  <c r="BC404" i="1"/>
  <c r="AV404" i="1"/>
  <c r="BC303" i="1"/>
  <c r="AU430" i="1"/>
  <c r="BC472" i="1"/>
  <c r="AV472" i="1"/>
  <c r="BC435" i="1"/>
  <c r="AV435" i="1"/>
  <c r="AV159" i="1"/>
  <c r="BC536" i="1"/>
  <c r="AV536" i="1"/>
  <c r="BC403" i="1"/>
  <c r="AV403" i="1"/>
  <c r="K386" i="1"/>
  <c r="BC281" i="1"/>
  <c r="BC254" i="1"/>
  <c r="AV254" i="1"/>
  <c r="AV112" i="1"/>
  <c r="AV246" i="1"/>
  <c r="BC412" i="1"/>
  <c r="AV412" i="1"/>
  <c r="BC582" i="1"/>
  <c r="AV582" i="1"/>
  <c r="BC566" i="1"/>
  <c r="AV566" i="1"/>
  <c r="BC531" i="1"/>
  <c r="AV531" i="1"/>
  <c r="BC527" i="1"/>
  <c r="AV527" i="1"/>
  <c r="BC409" i="1"/>
  <c r="AV409" i="1"/>
  <c r="J602" i="1"/>
  <c r="BC631" i="1"/>
  <c r="AV631" i="1"/>
  <c r="BC222" i="1"/>
  <c r="AV222" i="1"/>
  <c r="M430" i="1"/>
  <c r="BC156" i="1"/>
  <c r="AV156" i="1"/>
  <c r="BC105" i="1"/>
  <c r="AV105" i="1"/>
  <c r="J67" i="1"/>
  <c r="AV122" i="1"/>
  <c r="BC343" i="1"/>
  <c r="BC609" i="1"/>
  <c r="AV609" i="1"/>
  <c r="BC273" i="1"/>
  <c r="AV273" i="1"/>
  <c r="BC598" i="1"/>
  <c r="AV598" i="1"/>
  <c r="BC147" i="1"/>
  <c r="AV147" i="1"/>
  <c r="J567" i="1"/>
  <c r="K439" i="1"/>
  <c r="BC72" i="1"/>
  <c r="AV72" i="1"/>
  <c r="BC396" i="1"/>
  <c r="AV396" i="1"/>
  <c r="BC519" i="1"/>
  <c r="AV519" i="1"/>
  <c r="BC385" i="1"/>
  <c r="AV385" i="1"/>
  <c r="AV507" i="1"/>
  <c r="BC211" i="1"/>
  <c r="BC387" i="1"/>
  <c r="K616" i="1"/>
  <c r="BC312" i="1"/>
  <c r="AV312" i="1"/>
  <c r="BC62" i="1"/>
  <c r="AV62" i="1"/>
  <c r="BC406" i="1"/>
  <c r="K155" i="1"/>
  <c r="BC268" i="1"/>
  <c r="M20" i="1"/>
  <c r="BC605" i="1"/>
  <c r="AV605" i="1"/>
  <c r="BC523" i="1"/>
  <c r="AV523" i="1"/>
  <c r="AV590" i="1"/>
  <c r="BC590" i="1"/>
  <c r="BC445" i="1"/>
  <c r="AV445" i="1"/>
  <c r="BC504" i="1"/>
  <c r="AV504" i="1"/>
  <c r="BC370" i="1"/>
  <c r="AV370" i="1"/>
  <c r="BC191" i="1"/>
  <c r="AV191" i="1"/>
  <c r="AU192" i="1"/>
  <c r="BC40" i="1"/>
  <c r="AV40" i="1"/>
  <c r="BC57" i="1"/>
  <c r="AV57" i="1"/>
  <c r="BC627" i="1"/>
  <c r="AV627" i="1"/>
  <c r="K567" i="1"/>
  <c r="BC633" i="1"/>
  <c r="AV633" i="1"/>
  <c r="BC615" i="1"/>
  <c r="AV615" i="1"/>
  <c r="BC495" i="1"/>
  <c r="AV495" i="1"/>
  <c r="BC587" i="1"/>
  <c r="AV587" i="1"/>
  <c r="BC345" i="1"/>
  <c r="AV345" i="1"/>
  <c r="BC634" i="1"/>
  <c r="AV634" i="1"/>
  <c r="BC340" i="1"/>
  <c r="BC181" i="1"/>
  <c r="AV181" i="1"/>
  <c r="BC320" i="1"/>
  <c r="AV320" i="1"/>
  <c r="BC317" i="1"/>
  <c r="BC85" i="1"/>
  <c r="AV85" i="1"/>
  <c r="BC400" i="1"/>
  <c r="BC42" i="1"/>
  <c r="AV42" i="1"/>
  <c r="BC372" i="1"/>
  <c r="H21" i="3" l="1"/>
  <c r="I21" i="3" s="1"/>
  <c r="I27" i="3" s="1"/>
  <c r="M635" i="1"/>
  <c r="F16" i="2"/>
  <c r="F22" i="2" s="1"/>
  <c r="I18" i="3"/>
  <c r="I14" i="2" l="1"/>
  <c r="I22" i="2" s="1"/>
  <c r="F29" i="3"/>
  <c r="C29" i="2"/>
  <c r="F29" i="2" l="1"/>
  <c r="I28" i="2"/>
  <c r="I29" i="2" l="1"/>
</calcChain>
</file>

<file path=xl/sharedStrings.xml><?xml version="1.0" encoding="utf-8"?>
<sst xmlns="http://schemas.openxmlformats.org/spreadsheetml/2006/main" count="4536" uniqueCount="1394">
  <si>
    <t>Název stavby:</t>
  </si>
  <si>
    <t>Rekonstrukce střechy a stropu a stat zajištění schodiště Panského domu</t>
  </si>
  <si>
    <t>Doba výstavby:</t>
  </si>
  <si>
    <t xml:space="preserve"> </t>
  </si>
  <si>
    <t>Objednatel:</t>
  </si>
  <si>
    <t> 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</si>
  <si>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</si>
  <si>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</si>
  <si>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</si>
  <si>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</si>
  <si>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</si>
  <si>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</si>
  <si>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</si>
  <si>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</si>
  <si>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</si>
  <si>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</si>
  <si>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</si>
  <si>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</si>
  <si>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</si>
  <si>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</si>
  <si>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</si>
  <si>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</si>
  <si>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</si>
  <si>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</si>
  <si>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</si>
  <si>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</si>
  <si>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</si>
  <si>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</si>
  <si>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</si>
  <si>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</si>
  <si>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</si>
  <si>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</si>
  <si>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</si>
  <si>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</si>
  <si>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</si>
  <si>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</si>
  <si>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</si>
  <si>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</si>
  <si>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</si>
  <si>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</si>
  <si>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</si>
  <si>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</si>
  <si>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</si>
  <si>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</si>
  <si>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</si>
  <si>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</si>
  <si>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</si>
  <si>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</si>
  <si>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</si>
  <si>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</si>
  <si>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13</t>
  </si>
  <si>
    <t>Hloubené vykopávky</t>
  </si>
  <si>
    <t>1</t>
  </si>
  <si>
    <t>130901113R00</t>
  </si>
  <si>
    <t>Bourání konstrukcí kamenných na MC ve vykopávkách</t>
  </si>
  <si>
    <t>m3</t>
  </si>
  <si>
    <t>21</t>
  </si>
  <si>
    <t>RTS I / 2024</t>
  </si>
  <si>
    <t>13_</t>
  </si>
  <si>
    <t>1_</t>
  </si>
  <si>
    <t>_</t>
  </si>
  <si>
    <t>13,8*(0,9*0,4-0,4*0,2)</t>
  </si>
  <si>
    <t>odvodňovací kanál</t>
  </si>
  <si>
    <t>2</t>
  </si>
  <si>
    <t>139601102R00</t>
  </si>
  <si>
    <t>Ruční výkop jam, rýh a šachet v hornině tř. 3</t>
  </si>
  <si>
    <t>(2*3,8+10,8)*(1,5*1,12+1,0*0,3)</t>
  </si>
  <si>
    <t>okolo schodiště</t>
  </si>
  <si>
    <t>-13,8*0,9*0,4</t>
  </si>
  <si>
    <t>odpočet kanálu</t>
  </si>
  <si>
    <t>3</t>
  </si>
  <si>
    <t>139711101RT3</t>
  </si>
  <si>
    <t>Vykopávka v uzavřených prostorách v hor.1-4</t>
  </si>
  <si>
    <t>(10,8+2*1,6)*0,4*0,8</t>
  </si>
  <si>
    <t>podkopání základů</t>
  </si>
  <si>
    <t>16</t>
  </si>
  <si>
    <t>Přemístění výkopku</t>
  </si>
  <si>
    <t>4</t>
  </si>
  <si>
    <t>161101101R00</t>
  </si>
  <si>
    <t>Svislé přemístění výkopku z hor.1-4 do 2,5 m</t>
  </si>
  <si>
    <t>16_</t>
  </si>
  <si>
    <t>5</t>
  </si>
  <si>
    <t>161101601R00</t>
  </si>
  <si>
    <t>Vytažení výkopku z pod základů, hor 1-4, hl.do 2 m</t>
  </si>
  <si>
    <t>6</t>
  </si>
  <si>
    <t>162201203R00</t>
  </si>
  <si>
    <t>Vodorovné přemíst.výkopku, kolečko hor.1-4, do 10m</t>
  </si>
  <si>
    <t>31,46+4,48</t>
  </si>
  <si>
    <t>celý výkop</t>
  </si>
  <si>
    <t>24,56+4,83</t>
  </si>
  <si>
    <t>zásyp</t>
  </si>
  <si>
    <t>7</t>
  </si>
  <si>
    <t>162201210R00</t>
  </si>
  <si>
    <t>Příplatek za dalš.10 m, kolečko, výkop. z hor.1- 4</t>
  </si>
  <si>
    <t>2*65,33</t>
  </si>
  <si>
    <t>8</t>
  </si>
  <si>
    <t>162701105R00</t>
  </si>
  <si>
    <t>Vodorovné přemístění výkopku z hor.1-4 do 10000 m</t>
  </si>
  <si>
    <t>35,94-24,56-4,83</t>
  </si>
  <si>
    <t>přebytečná zemina</t>
  </si>
  <si>
    <t>9</t>
  </si>
  <si>
    <t>167101201R00</t>
  </si>
  <si>
    <t>Nakládání výkopku z hor. 1 ÷ 4 - ručně</t>
  </si>
  <si>
    <t>17</t>
  </si>
  <si>
    <t>Konstrukce ze zemin</t>
  </si>
  <si>
    <t>10</t>
  </si>
  <si>
    <t>172102101R00</t>
  </si>
  <si>
    <t>Zřízení těsnící výplně se zhutněním do 100% PS</t>
  </si>
  <si>
    <t>17_</t>
  </si>
  <si>
    <t>13,8*0,5*0,7</t>
  </si>
  <si>
    <t>jílová zemina vedle kanálu</t>
  </si>
  <si>
    <t>11</t>
  </si>
  <si>
    <t>174101102R00</t>
  </si>
  <si>
    <t>Zásyp ruční se zhutněním</t>
  </si>
  <si>
    <t>31,46</t>
  </si>
  <si>
    <t>výkop</t>
  </si>
  <si>
    <t>-4,83</t>
  </si>
  <si>
    <t>jílové utěsnění</t>
  </si>
  <si>
    <t>-13,8*0,5*0,3</t>
  </si>
  <si>
    <t>kamenná rovnanina</t>
  </si>
  <si>
    <t>18</t>
  </si>
  <si>
    <t>Povrchové úpravy terénu</t>
  </si>
  <si>
    <t>12</t>
  </si>
  <si>
    <t>180402111R00</t>
  </si>
  <si>
    <t>Založení trávníku parkového výsevem v rovině</t>
  </si>
  <si>
    <t>m2</t>
  </si>
  <si>
    <t>18_</t>
  </si>
  <si>
    <t>(2*3,8+10,8)*1,5</t>
  </si>
  <si>
    <t>v místě výkopu</t>
  </si>
  <si>
    <t>00572400</t>
  </si>
  <si>
    <t>Směs travní parková I. běžná zátěž PROFI</t>
  </si>
  <si>
    <t>kg</t>
  </si>
  <si>
    <t>14</t>
  </si>
  <si>
    <t>182001111R00</t>
  </si>
  <si>
    <t>Plošná úprava terénu, nerovnosti do 10 cm v rovině</t>
  </si>
  <si>
    <t>19</t>
  </si>
  <si>
    <t>Hloubení pro podzemní stěny, ražení a hloubení důlní</t>
  </si>
  <si>
    <t>15</t>
  </si>
  <si>
    <t>199000002R00</t>
  </si>
  <si>
    <t>Poplatek za skládku horniny 1- 4, č. dle katal. odpadů 17 05 04</t>
  </si>
  <si>
    <t>19_</t>
  </si>
  <si>
    <t>Úprava podloží a základové spáry</t>
  </si>
  <si>
    <t>212561111R00</t>
  </si>
  <si>
    <t>Výplň odvodňov. trativodů kam. hrubě drcen. 16 mm</t>
  </si>
  <si>
    <t>21_</t>
  </si>
  <si>
    <t>2_</t>
  </si>
  <si>
    <t>13,8*0,25*0,25</t>
  </si>
  <si>
    <t>obnovení trativodu</t>
  </si>
  <si>
    <t>212753114R00</t>
  </si>
  <si>
    <t>Montáž ohebné dren. trubky do rýhy DN 100,bez lože</t>
  </si>
  <si>
    <t>m</t>
  </si>
  <si>
    <t>28611223.A</t>
  </si>
  <si>
    <t>Trubka PVC drenážní flexibilní d 100 mm</t>
  </si>
  <si>
    <t>212792112R00</t>
  </si>
  <si>
    <t>Montáž trativodů z flexibilních trubek, lože</t>
  </si>
  <si>
    <t>20</t>
  </si>
  <si>
    <t>212971110R00</t>
  </si>
  <si>
    <t>Opláštění trativodů z geotext., do sklonu 1:2,5</t>
  </si>
  <si>
    <t>13,8*5*0,25</t>
  </si>
  <si>
    <t>67352004</t>
  </si>
  <si>
    <t>Geotextilie netkaná PET 300 g/m2</t>
  </si>
  <si>
    <t>27</t>
  </si>
  <si>
    <t>Základy</t>
  </si>
  <si>
    <t>22</t>
  </si>
  <si>
    <t>279232511R00</t>
  </si>
  <si>
    <t>Postupná podezdívka základového zdiva cihlami</t>
  </si>
  <si>
    <t>27_</t>
  </si>
  <si>
    <t>podezdění základů</t>
  </si>
  <si>
    <t>28</t>
  </si>
  <si>
    <t>Zpevňování hornin a konstrukcí</t>
  </si>
  <si>
    <t>23</t>
  </si>
  <si>
    <t>289903111R00</t>
  </si>
  <si>
    <t>Vysekání spár nad 3 cm zdiva řádkového do 10 cm</t>
  </si>
  <si>
    <t>28_</t>
  </si>
  <si>
    <t>5*0,95*0,15</t>
  </si>
  <si>
    <t>klenba nad oknem</t>
  </si>
  <si>
    <t>24</t>
  </si>
  <si>
    <t>285372111R00</t>
  </si>
  <si>
    <t>Napnutí tyčových kotev únosnosti do 0,45 MN</t>
  </si>
  <si>
    <t>kus</t>
  </si>
  <si>
    <t>25</t>
  </si>
  <si>
    <t>285175111R00</t>
  </si>
  <si>
    <t>Osazení ocelové roznášecí konstrukce do 40 kg</t>
  </si>
  <si>
    <t>20*0,15*0,15*0,012*7850</t>
  </si>
  <si>
    <t>26</t>
  </si>
  <si>
    <t>285371211R00</t>
  </si>
  <si>
    <t>Kotvy tyčové délky nad 5 m a D od 20 do 28 mm vč. zálivky</t>
  </si>
  <si>
    <t>2*6,7+2*11,1+3*3,4+6*1,2</t>
  </si>
  <si>
    <t>31</t>
  </si>
  <si>
    <t>Zdi podpěrné a volné</t>
  </si>
  <si>
    <t>311231116R00</t>
  </si>
  <si>
    <t>Zdivo nosné cihelné z cihel pálených 290 mm P15 na maltu cementovou 10 MPa</t>
  </si>
  <si>
    <t>31_</t>
  </si>
  <si>
    <t>3_</t>
  </si>
  <si>
    <t>0,6*0,8*(15,39+12,02+15,8+2*1,28+11,85+9,25+10,81+28,55+8,16)</t>
  </si>
  <si>
    <t>obvodové zdivo</t>
  </si>
  <si>
    <t>0,45*0,3*(10,81+2*2,25)</t>
  </si>
  <si>
    <t>schodišťové zdivo</t>
  </si>
  <si>
    <t>50*0,6*0,9</t>
  </si>
  <si>
    <t>střední nosná stěna</t>
  </si>
  <si>
    <t>310236241R00</t>
  </si>
  <si>
    <t>Zazdívka otvorů pl. 0,09 m2 cihlami, tl. zdi 30 cm</t>
  </si>
  <si>
    <t>komín U160</t>
  </si>
  <si>
    <t>29</t>
  </si>
  <si>
    <t>311231144R00</t>
  </si>
  <si>
    <t>Zdivo nosné cihelné z cihel pálených 250 mm P20 na maltu vápenocementovou 2,5 MPa</t>
  </si>
  <si>
    <t>2,32*0,55*4,0+6,6*0,75*4,0-0,8*2,24*0,55-1,05*1,7*0,75</t>
  </si>
  <si>
    <t>roh schodiště 1.NP</t>
  </si>
  <si>
    <t>2,32*0,45*2,5+6,6*0,68*2,5-0,75*0,99*0,45-1,05*1,45*0,68</t>
  </si>
  <si>
    <t>roh schodiště 2.NP</t>
  </si>
  <si>
    <t>1,4*0,475*4,0+1,62*0,33*2,5-0,8*2,0*0,33</t>
  </si>
  <si>
    <t>vnitřní stěna</t>
  </si>
  <si>
    <t>1,62*1,5*0,3</t>
  </si>
  <si>
    <t>nadpraží dveří</t>
  </si>
  <si>
    <t>30</t>
  </si>
  <si>
    <t>314231114R00</t>
  </si>
  <si>
    <t>Zdivo komínů z cihel pálených 290 mm P15 na maltu vápenocementovou, pod omítku</t>
  </si>
  <si>
    <t>2*3*0,75*0,15*0,15</t>
  </si>
  <si>
    <t>komín u úhelníků</t>
  </si>
  <si>
    <t>317231624R00</t>
  </si>
  <si>
    <t>Zdivo klenbových pásů z cihel pálených 290 mm P25 na maltu vápenocementovou 2,5 MPa</t>
  </si>
  <si>
    <t>2*1,0*0,55*0,3+1,0*0,45*0,3+1,0*0,3*0,3</t>
  </si>
  <si>
    <t>roh schodiště</t>
  </si>
  <si>
    <t>32</t>
  </si>
  <si>
    <t>317351101R00</t>
  </si>
  <si>
    <t>Bednění klenbových pásů - zřízení</t>
  </si>
  <si>
    <t>2*1,0*0,55+1,0*0,45+1,0*0,3</t>
  </si>
  <si>
    <t>33</t>
  </si>
  <si>
    <t>317351102R00</t>
  </si>
  <si>
    <t>Bednění klenbových pásů - odstranění</t>
  </si>
  <si>
    <t>34</t>
  </si>
  <si>
    <t>319201311R00</t>
  </si>
  <si>
    <t>Vyrovnání povrchu zdiva maltou tl.do 3 cm</t>
  </si>
  <si>
    <t>920</t>
  </si>
  <si>
    <t>pod vnitřní omítky</t>
  </si>
  <si>
    <t>35</t>
  </si>
  <si>
    <t>311232111R00</t>
  </si>
  <si>
    <t>Zdivo z cihel Klinker plných, jednostranně spárované, tl. 290 mm</t>
  </si>
  <si>
    <t>(1,64+0,72+0,76+0,72+2*0,54+2*0,55+1,69+0,72+0,78+0,83)*2*0,75</t>
  </si>
  <si>
    <t>přezdívka komínových hlav</t>
  </si>
  <si>
    <t>36</t>
  </si>
  <si>
    <t>316232111R00</t>
  </si>
  <si>
    <t>Ukonč.vrstva z cihel líc.pln.Klinker š.290, v.140</t>
  </si>
  <si>
    <t>(1,64+0,72+0,76+0,72+2*0,54+2*0,55+1,69+0,72+0,78+0,83)*2</t>
  </si>
  <si>
    <t>ukončení komínů</t>
  </si>
  <si>
    <t>37</t>
  </si>
  <si>
    <t>317235811RT2</t>
  </si>
  <si>
    <t>Doplnění zdiva hlavních a kordonových říms cihlami</t>
  </si>
  <si>
    <t>(14,81+12,92+2*1,35+15,8+12,7+9,7+10,81+28,77+7,9)*0,6*0,15</t>
  </si>
  <si>
    <t>římsy</t>
  </si>
  <si>
    <t>38</t>
  </si>
  <si>
    <t>311231114R00</t>
  </si>
  <si>
    <t>Zdivo nosné cihelné z cihel pálených 290 mm P15 na maltu vápenocementovou 2,5 MPa</t>
  </si>
  <si>
    <t>2*6,15*0,15*0,3</t>
  </si>
  <si>
    <t>zazdívka stupňů</t>
  </si>
  <si>
    <t>Zdi přehradní a opěrné</t>
  </si>
  <si>
    <t>39</t>
  </si>
  <si>
    <t>328213112R00</t>
  </si>
  <si>
    <t>Zdivo nadzákl. šachet z lom.kam.,výplňové na MC 10</t>
  </si>
  <si>
    <t>32_</t>
  </si>
  <si>
    <t>13,8*2*0,3*0,3</t>
  </si>
  <si>
    <t>boční stěny kanálu</t>
  </si>
  <si>
    <t>Různé kompletní konstrukce nedělitelné do stav. dílů</t>
  </si>
  <si>
    <t>40</t>
  </si>
  <si>
    <t>388129720R00</t>
  </si>
  <si>
    <t>Montáž prefa.kanálů ze ŽB, krycích desek do 1 t</t>
  </si>
  <si>
    <t>38_</t>
  </si>
  <si>
    <t>zakrytí kanálu kamennými placáky</t>
  </si>
  <si>
    <t>41</t>
  </si>
  <si>
    <t>388129413R00</t>
  </si>
  <si>
    <t>Montáž prefa. kanálů ze ŽB,tvar desek dno do 1 t</t>
  </si>
  <si>
    <t>dna kanálu z placáků</t>
  </si>
  <si>
    <t>Stropy a stropní konstrukce (pro pozemní stavby)</t>
  </si>
  <si>
    <t>42</t>
  </si>
  <si>
    <t>411238211R00</t>
  </si>
  <si>
    <t>Zazdívka otvorů 1 m2 v klenbě cihlami tl.do 15 cm</t>
  </si>
  <si>
    <t>41_</t>
  </si>
  <si>
    <t>4_</t>
  </si>
  <si>
    <t>2*1,5*0,05</t>
  </si>
  <si>
    <t>zazdívka trhliny</t>
  </si>
  <si>
    <t>0,25*0,25</t>
  </si>
  <si>
    <t>zazdívka prostupu</t>
  </si>
  <si>
    <t>43</t>
  </si>
  <si>
    <t>413231211R00</t>
  </si>
  <si>
    <t>Zazdívka zhlaví stropních trámů průřezu do 200 cm2</t>
  </si>
  <si>
    <t>180</t>
  </si>
  <si>
    <t>všechna zhlaví</t>
  </si>
  <si>
    <t>44</t>
  </si>
  <si>
    <t>413941123R00</t>
  </si>
  <si>
    <t>Osazení válcovaných nosníků ve stropech č. 14 - 22</t>
  </si>
  <si>
    <t>t</t>
  </si>
  <si>
    <t>4*1,5*18,9/1000</t>
  </si>
  <si>
    <t>45</t>
  </si>
  <si>
    <t>13384340</t>
  </si>
  <si>
    <t>Tyč ocelová U 160, S235JR</t>
  </si>
  <si>
    <t>;ztratné 8%; 0,0088</t>
  </si>
  <si>
    <t>46</t>
  </si>
  <si>
    <t>411244253R00</t>
  </si>
  <si>
    <t>Klenby z cihel dl.29 cm P15, MC 10 tl.290mm, do 2m</t>
  </si>
  <si>
    <t>1,41*1,47</t>
  </si>
  <si>
    <t>podesta</t>
  </si>
  <si>
    <t>1,49*1,62</t>
  </si>
  <si>
    <t>strop WC u schodiště</t>
  </si>
  <si>
    <t>1,66*2,69</t>
  </si>
  <si>
    <t>koupelna</t>
  </si>
  <si>
    <t>47</t>
  </si>
  <si>
    <t>411353101R00</t>
  </si>
  <si>
    <t>Bednění kleneb tvaru válce r nad 1 m - zřízení</t>
  </si>
  <si>
    <t>48</t>
  </si>
  <si>
    <t>411353102R00</t>
  </si>
  <si>
    <t>Bednění kleneb tvaru válce r nad 1 m - odstranění</t>
  </si>
  <si>
    <t>49</t>
  </si>
  <si>
    <t>411354173R00</t>
  </si>
  <si>
    <t>Podpěrná konstr. stropů do 12 kPa - zřízení</t>
  </si>
  <si>
    <t>50</t>
  </si>
  <si>
    <t>411354174R00</t>
  </si>
  <si>
    <t>Podpěrná konstr. stropů do 12 kPa - odstranění</t>
  </si>
  <si>
    <t>Schodiště</t>
  </si>
  <si>
    <t>51</t>
  </si>
  <si>
    <t>434191451R00</t>
  </si>
  <si>
    <t>Osazení kamen.stupňů do otvorů 2str.zazděné, brouš</t>
  </si>
  <si>
    <t>43_</t>
  </si>
  <si>
    <t>18*1,8</t>
  </si>
  <si>
    <t>použity vybourané stupně</t>
  </si>
  <si>
    <t>Zpevněné plochy (kromě vozovek a železničního svršku)</t>
  </si>
  <si>
    <t>52</t>
  </si>
  <si>
    <t>463212111R00</t>
  </si>
  <si>
    <t>Rovnanina z lom.kamene s vyklínováním spár úlomky</t>
  </si>
  <si>
    <t>46_</t>
  </si>
  <si>
    <t>13,8*0,5*0,3</t>
  </si>
  <si>
    <t>53</t>
  </si>
  <si>
    <t>463451111R00</t>
  </si>
  <si>
    <t>Prolití rovnaniny cementovou maltou MC 5</t>
  </si>
  <si>
    <t>59</t>
  </si>
  <si>
    <t>Kryty pozemních komunikací, letišť a ploch dlážděných (předlažby)</t>
  </si>
  <si>
    <t>54</t>
  </si>
  <si>
    <t>591111111R00</t>
  </si>
  <si>
    <t>Kladení dlažby velké kostky,lože z kamen.tl. 5 cm</t>
  </si>
  <si>
    <t>59_</t>
  </si>
  <si>
    <t>5_</t>
  </si>
  <si>
    <t>zpětné zadláždění po zemnění</t>
  </si>
  <si>
    <t>61</t>
  </si>
  <si>
    <t>Úprava povrchů vnitřní</t>
  </si>
  <si>
    <t>55</t>
  </si>
  <si>
    <t>611441542R00</t>
  </si>
  <si>
    <t>Omítka sádrová stropů s dvojitým rákosováním</t>
  </si>
  <si>
    <t>61_</t>
  </si>
  <si>
    <t>6_</t>
  </si>
  <si>
    <t>2*((4,67+4,7+4,81+4,59+5,65)*6,66+(6,42+3,04)*7,94)</t>
  </si>
  <si>
    <t>místnosti dvůr</t>
  </si>
  <si>
    <t>2*((3,65+25,18+5,33+4,89)*2,51+7,08*2,5)</t>
  </si>
  <si>
    <t>chodba+zadní místnost</t>
  </si>
  <si>
    <t>2*(4,67+4,65)*4,77</t>
  </si>
  <si>
    <t>štítové místnosti</t>
  </si>
  <si>
    <t>56</t>
  </si>
  <si>
    <t>612441240R00</t>
  </si>
  <si>
    <t>Omítka vnitřní zdiva vápenosádrová hladká</t>
  </si>
  <si>
    <t>(46,2+9,9)*2*3,2</t>
  </si>
  <si>
    <t>stěny po obvodě</t>
  </si>
  <si>
    <t>(46,2*2+9,9*16)*3,2</t>
  </si>
  <si>
    <t>vnitřní stěny</t>
  </si>
  <si>
    <t>(2*2,96+2*4,78+2*1,49+6*1,66)*6,5</t>
  </si>
  <si>
    <t>schodišťový prostor</t>
  </si>
  <si>
    <t>57</t>
  </si>
  <si>
    <t>619442431R00</t>
  </si>
  <si>
    <t>Vytažení fabionů,hran a koutů jakékoliv délky</t>
  </si>
  <si>
    <t>4,67+4,7+4,81+6,42+3,04+4,59+4,65+4,77+4,71+4,65+4,67+16*2,0</t>
  </si>
  <si>
    <t>strop</t>
  </si>
  <si>
    <t>83,68</t>
  </si>
  <si>
    <t>dtto stěny</t>
  </si>
  <si>
    <t>58</t>
  </si>
  <si>
    <t>619441211R00</t>
  </si>
  <si>
    <t>Vytažení profilů o délce do 5 m a šířce 10 cm</t>
  </si>
  <si>
    <t>83,67</t>
  </si>
  <si>
    <t>nad fabionem</t>
  </si>
  <si>
    <t>619441321R00</t>
  </si>
  <si>
    <t>Vytažení profilů o délce nad 5 m a šířce nad 10 cm</t>
  </si>
  <si>
    <t>14,81+12,92+2*1,35+15,8+12,7+9,7+10,81+28,77+7,9</t>
  </si>
  <si>
    <t>venkovní římsa</t>
  </si>
  <si>
    <t>60</t>
  </si>
  <si>
    <t>611421133R00</t>
  </si>
  <si>
    <t>Omítka vnitřní stropů rovných, MVC, štuková</t>
  </si>
  <si>
    <t>6,15*1,43</t>
  </si>
  <si>
    <t>podhled schodišťových stupňů</t>
  </si>
  <si>
    <t>611422133R00</t>
  </si>
  <si>
    <t>Omítka vnitřní kleneb, skořepin, MVC, štuková</t>
  </si>
  <si>
    <t>62</t>
  </si>
  <si>
    <t>Úprava povrchů vnější</t>
  </si>
  <si>
    <t>627456145R00</t>
  </si>
  <si>
    <t>Vyplnění spár 70 mm zdiva z cihel, MC bez vyspár.</t>
  </si>
  <si>
    <t>62_</t>
  </si>
  <si>
    <t>trhliny ve stěnách schodiště</t>
  </si>
  <si>
    <t>63</t>
  </si>
  <si>
    <t>627452931RT2</t>
  </si>
  <si>
    <t>Spárování starého zdiva cihelného do hl. 5 cm</t>
  </si>
  <si>
    <t>RTS II / 2022</t>
  </si>
  <si>
    <t>(1,64+0,72+0,76+0,72+2*0,54+2*0,55+1,69+0,72+0,78+0,83)*2*2,0</t>
  </si>
  <si>
    <t>ponechané zdivo komínů nad střechou</t>
  </si>
  <si>
    <t>64</t>
  </si>
  <si>
    <t>622903111R00</t>
  </si>
  <si>
    <t>Očištění zdí a valů před opravou, ručně</t>
  </si>
  <si>
    <t>(14,81+12,92+2*1,35+15,8+12,7+9,7+10,81+28,77+7,9)*0,9</t>
  </si>
  <si>
    <t>65</t>
  </si>
  <si>
    <t>621421145RT2</t>
  </si>
  <si>
    <t>Omítka vnější podhledů, MVC, štuková, složitost 3</t>
  </si>
  <si>
    <t>římsa</t>
  </si>
  <si>
    <t>66</t>
  </si>
  <si>
    <t>622412323R00</t>
  </si>
  <si>
    <t>Nátěr stěn vnějších, slož.3-4 ,silikonový</t>
  </si>
  <si>
    <t>Podlahy a podlahové konstrukce</t>
  </si>
  <si>
    <t>67</t>
  </si>
  <si>
    <t>631315621R00</t>
  </si>
  <si>
    <t>Mazanina betonová tl. 12 - 24 cm C 20/25</t>
  </si>
  <si>
    <t>63_</t>
  </si>
  <si>
    <t>1,5*1,6*0,18</t>
  </si>
  <si>
    <t>podesta schodiště</t>
  </si>
  <si>
    <t>68</t>
  </si>
  <si>
    <t>631312141R00</t>
  </si>
  <si>
    <t>Doplnění rýh betonem v dosavadních mazaninách</t>
  </si>
  <si>
    <t>10*0,05</t>
  </si>
  <si>
    <t>spáry u schodiště</t>
  </si>
  <si>
    <t>69</t>
  </si>
  <si>
    <t>631313411RZ1</t>
  </si>
  <si>
    <t>Mazanina  tl. 8 - 12 cm bez materiálu</t>
  </si>
  <si>
    <t>330*0,1</t>
  </si>
  <si>
    <t>hliněná mazanina půda</t>
  </si>
  <si>
    <t>70</t>
  </si>
  <si>
    <t>585602110</t>
  </si>
  <si>
    <t>Hliněná mazanina s přísadou řezanky bal. 1000 kg</t>
  </si>
  <si>
    <t>33*1650</t>
  </si>
  <si>
    <t>Výplně otvorů</t>
  </si>
  <si>
    <t>71</t>
  </si>
  <si>
    <t>641954211R00</t>
  </si>
  <si>
    <t>Osazení rámů okenních dř.dvojitých, pl. do 2,5 m2</t>
  </si>
  <si>
    <t>64_</t>
  </si>
  <si>
    <t>vybourané okno schodiště</t>
  </si>
  <si>
    <t>72</t>
  </si>
  <si>
    <t>642951121R00</t>
  </si>
  <si>
    <t>Dodatečné osaz. dřev.zárubní hrubých, pl.do 2,5 m2</t>
  </si>
  <si>
    <t>vybourané dveře schodiště</t>
  </si>
  <si>
    <t>713</t>
  </si>
  <si>
    <t>Izolace tepelné</t>
  </si>
  <si>
    <t>73</t>
  </si>
  <si>
    <t>713111111R00</t>
  </si>
  <si>
    <t>Montáž tepelné izolace stropů vrchem kladené, volně</t>
  </si>
  <si>
    <t>713_</t>
  </si>
  <si>
    <t>71_</t>
  </si>
  <si>
    <t>74</t>
  </si>
  <si>
    <t>63140546</t>
  </si>
  <si>
    <t>Deska izolační minerální tl. 120 mm vpodivost 0,037</t>
  </si>
  <si>
    <t>795,84</t>
  </si>
  <si>
    <t>;ztratné 10%; 79,584</t>
  </si>
  <si>
    <t>75</t>
  </si>
  <si>
    <t>998713102R00</t>
  </si>
  <si>
    <t>Přesun hmot pro izolace tepelné, výšky do 12 m</t>
  </si>
  <si>
    <t>762</t>
  </si>
  <si>
    <t>Konstrukce tesařské</t>
  </si>
  <si>
    <t>76</t>
  </si>
  <si>
    <t>762083130R00</t>
  </si>
  <si>
    <t>Profilování zhlaví trámů do 320 cm2</t>
  </si>
  <si>
    <t>762_</t>
  </si>
  <si>
    <t>76_</t>
  </si>
  <si>
    <t>125</t>
  </si>
  <si>
    <t>2*90</t>
  </si>
  <si>
    <t>plátování námětků</t>
  </si>
  <si>
    <t>2*100</t>
  </si>
  <si>
    <t>plátování krokve</t>
  </si>
  <si>
    <t>2*2</t>
  </si>
  <si>
    <t>plátování sloupků</t>
  </si>
  <si>
    <t>2*32+2*11+2*6+2*49+4*42</t>
  </si>
  <si>
    <t>plátování stropních trámů</t>
  </si>
  <si>
    <t>4*45</t>
  </si>
  <si>
    <t>plátování rákosníků</t>
  </si>
  <si>
    <t>77</t>
  </si>
  <si>
    <t>762084111R00</t>
  </si>
  <si>
    <t>Příplatek za práce ve výšce od 4 do 8 m</t>
  </si>
  <si>
    <t>113,41+285,7+137,3</t>
  </si>
  <si>
    <t>78</t>
  </si>
  <si>
    <t>762084211R00</t>
  </si>
  <si>
    <t>Příplatek pro bednění a laťování ve výšce 4 - 12 m</t>
  </si>
  <si>
    <t>25,22+825,92</t>
  </si>
  <si>
    <t>79</t>
  </si>
  <si>
    <t>762088113R00</t>
  </si>
  <si>
    <t>Zakrývání provizorní plachtou 12x15m,vč.odstranění</t>
  </si>
  <si>
    <t>80</t>
  </si>
  <si>
    <t>762112110RT2</t>
  </si>
  <si>
    <t>Montáž konstrukce stěn z řeziva hraněn. do 120 cm2 vč. dodávky řeziva</t>
  </si>
  <si>
    <t>9*2,5+10*4</t>
  </si>
  <si>
    <t>provizorní zakrytí kachlových kamen</t>
  </si>
  <si>
    <t>81</t>
  </si>
  <si>
    <t>762131124RT3</t>
  </si>
  <si>
    <t>Montáž bednění stěn, prkna hrubá do 32 mm, na sraz vč dodoávky prken 24 mm</t>
  </si>
  <si>
    <t>2*4,0*2,5+4,0*4,0</t>
  </si>
  <si>
    <t>82</t>
  </si>
  <si>
    <t>762112811R00</t>
  </si>
  <si>
    <t>Demontáž stěn z polohraněného řeziva</t>
  </si>
  <si>
    <t>(7,2+3,6+5,6)*2,2+2*5,2*2,2/2</t>
  </si>
  <si>
    <t>stěny na půdě</t>
  </si>
  <si>
    <t>83</t>
  </si>
  <si>
    <t>762131811R00</t>
  </si>
  <si>
    <t>Demontáž bednění stěn z hrubých prken, latí</t>
  </si>
  <si>
    <t>84</t>
  </si>
  <si>
    <t>762311103R00</t>
  </si>
  <si>
    <t>Montáž kotevních želez, příložek, patek, táhel</t>
  </si>
  <si>
    <t>úhelníky L160/100/10</t>
  </si>
  <si>
    <t>stropní trámy schodiště</t>
  </si>
  <si>
    <t>krokve schodiště</t>
  </si>
  <si>
    <t>85</t>
  </si>
  <si>
    <t>13435410</t>
  </si>
  <si>
    <t>Tyč ocelová L nerovnoramenná S235JR, rozměr 150 x 100 x 10 mm</t>
  </si>
  <si>
    <t>6*0,18*19/1000</t>
  </si>
  <si>
    <t>;ztratné 8%; 0,0016</t>
  </si>
  <si>
    <t>86</t>
  </si>
  <si>
    <t>13320930</t>
  </si>
  <si>
    <t>Tyč ocelová plochá S235JR, rozměr 60 x 5 mm</t>
  </si>
  <si>
    <t>11*1,0*2,36/1000</t>
  </si>
  <si>
    <t>;ztratné 8%; 0,0024</t>
  </si>
  <si>
    <t>87</t>
  </si>
  <si>
    <t>13322702</t>
  </si>
  <si>
    <t>Tyč ocelová plochá S235JR, rozměr 100 x 10 mm</t>
  </si>
  <si>
    <t>6*0,25*7,85/1000</t>
  </si>
  <si>
    <t>;ztratné 8%; 0,0008</t>
  </si>
  <si>
    <t>88</t>
  </si>
  <si>
    <t>762313112R00</t>
  </si>
  <si>
    <t>Montáž svorníků, šroubů délky 300 mm</t>
  </si>
  <si>
    <t>(90+100+2)*4</t>
  </si>
  <si>
    <t>plátování námětků, krokví, sloupů</t>
  </si>
  <si>
    <t>2*18+2*3+2*4</t>
  </si>
  <si>
    <t>kotvení vazných trámů</t>
  </si>
  <si>
    <t>32*8+11*8+6*6+49*8+84*8</t>
  </si>
  <si>
    <t>spoje vazných trámů A, B, C, D</t>
  </si>
  <si>
    <t>4*2*45</t>
  </si>
  <si>
    <t>spoje rákosníků</t>
  </si>
  <si>
    <t>2*6</t>
  </si>
  <si>
    <t>1*11</t>
  </si>
  <si>
    <t>89</t>
  </si>
  <si>
    <t>311110190000</t>
  </si>
  <si>
    <t>Matice ocelová pozinkovaná 02 1401.2  M12</t>
  </si>
  <si>
    <t>2*768</t>
  </si>
  <si>
    <t>spoje námětků, krokví, sloupků</t>
  </si>
  <si>
    <t>2*36</t>
  </si>
  <si>
    <t>2*360</t>
  </si>
  <si>
    <t>2*12</t>
  </si>
  <si>
    <t>2*11</t>
  </si>
  <si>
    <t>90</t>
  </si>
  <si>
    <t>311110220000</t>
  </si>
  <si>
    <t>Matice ocelová pozinkovaná 02 1401.2  M16</t>
  </si>
  <si>
    <t>2*6+2*8</t>
  </si>
  <si>
    <t>2*1444</t>
  </si>
  <si>
    <t>spoje vazných trámů</t>
  </si>
  <si>
    <t>91</t>
  </si>
  <si>
    <t>31121218</t>
  </si>
  <si>
    <t>Podložka pod dřevěné konstrukce 021727 otvor 14</t>
  </si>
  <si>
    <t>1000 ks</t>
  </si>
  <si>
    <t>92</t>
  </si>
  <si>
    <t>31121222</t>
  </si>
  <si>
    <t>Podložka pod dřevěné konstrukce 021727 otvor 18</t>
  </si>
  <si>
    <t>93</t>
  </si>
  <si>
    <t>31179127</t>
  </si>
  <si>
    <t>Tyč závitová M12, DIN 975, poz.</t>
  </si>
  <si>
    <t>(768+36+360+12+11)/3</t>
  </si>
  <si>
    <t>;ztratné 5%; 19,7835</t>
  </si>
  <si>
    <t>94</t>
  </si>
  <si>
    <t>31179129</t>
  </si>
  <si>
    <t>Tyč závitová M16, DIN 975, poz.</t>
  </si>
  <si>
    <t>(6+8+1444)/3</t>
  </si>
  <si>
    <t>;ztratné 5%; 24,3</t>
  </si>
  <si>
    <t>95</t>
  </si>
  <si>
    <t>762331811R00</t>
  </si>
  <si>
    <t>Demontáž konstrukcí krovů z hranolů do 120 cm2</t>
  </si>
  <si>
    <t>27*1,0</t>
  </si>
  <si>
    <t>dodatečné sloupky 7x14</t>
  </si>
  <si>
    <t>16*1,0</t>
  </si>
  <si>
    <t>dodatečné vzpěry 10x10</t>
  </si>
  <si>
    <t>96</t>
  </si>
  <si>
    <t>762331812R00</t>
  </si>
  <si>
    <t>Demontáž konstrukcí krovů z hranolů do 224 cm2</t>
  </si>
  <si>
    <t>2*0,8</t>
  </si>
  <si>
    <t>dodatečné sloupky 12x14</t>
  </si>
  <si>
    <t>97</t>
  </si>
  <si>
    <t>762331813R00</t>
  </si>
  <si>
    <t>Demontáž konstrukcí krovů z hranolů do 288 cm2</t>
  </si>
  <si>
    <t>16*0,8</t>
  </si>
  <si>
    <t>dodatečné sloupky 15x15</t>
  </si>
  <si>
    <t>15*2,2</t>
  </si>
  <si>
    <t>dodatečné sloupky 15x15, 13x17, 14x16, 14x19</t>
  </si>
  <si>
    <t>16,8+7,3+14+1,4+3,0+3,5</t>
  </si>
  <si>
    <t>polštáře 21x5, 13x17, 20x16</t>
  </si>
  <si>
    <t>3,3+5,1+2,1+3,65</t>
  </si>
  <si>
    <t>novodobé vaznice</t>
  </si>
  <si>
    <t>5,35</t>
  </si>
  <si>
    <t>novodobý hambálek</t>
  </si>
  <si>
    <t>30*4,3+5*6,5</t>
  </si>
  <si>
    <t>měněné námětky</t>
  </si>
  <si>
    <t>50*7,3</t>
  </si>
  <si>
    <t>měněné krokve (cca30%)</t>
  </si>
  <si>
    <t>10,6</t>
  </si>
  <si>
    <t>pozenice schodiště</t>
  </si>
  <si>
    <t>98</t>
  </si>
  <si>
    <t>762331921R00</t>
  </si>
  <si>
    <t>Vyřezání části střešní vazby do 224 cm2,do dl.3 m</t>
  </si>
  <si>
    <t>90*0,75</t>
  </si>
  <si>
    <t>zhlaví námětků</t>
  </si>
  <si>
    <t>99</t>
  </si>
  <si>
    <t>762331931R00</t>
  </si>
  <si>
    <t>Vyřezání části střešní vazby do 288 cm2,do dl.3 m</t>
  </si>
  <si>
    <t>100*0,75</t>
  </si>
  <si>
    <t>zhlaví krokví</t>
  </si>
  <si>
    <t>5*5,2</t>
  </si>
  <si>
    <t>zavětrování</t>
  </si>
  <si>
    <t>100</t>
  </si>
  <si>
    <t>762331941R00</t>
  </si>
  <si>
    <t>Vyřezání části střešní vazby do 450 cm2,do dl.3 m</t>
  </si>
  <si>
    <t>20*1,2+3,0</t>
  </si>
  <si>
    <t>plné vazby</t>
  </si>
  <si>
    <t>2,6+0,8</t>
  </si>
  <si>
    <t>vaznice</t>
  </si>
  <si>
    <t>101</t>
  </si>
  <si>
    <t>762331942R00</t>
  </si>
  <si>
    <t>Vyřezání části střešní vazby do 450 cm2,do dl.5 m</t>
  </si>
  <si>
    <t>6*5,2</t>
  </si>
  <si>
    <t>102</t>
  </si>
  <si>
    <t>762332110R00</t>
  </si>
  <si>
    <t>Montáž vázaných krovů pravidelných do 120 cm2</t>
  </si>
  <si>
    <t>7,9+49,28+12,7+15,8+12,92+14,81</t>
  </si>
  <si>
    <t>pozednice z fošen</t>
  </si>
  <si>
    <t>103</t>
  </si>
  <si>
    <t>60513330</t>
  </si>
  <si>
    <t>Fošna stavební omítaná SM tl. do 60 mm, š. do 220 mm, 2 - 5 m</t>
  </si>
  <si>
    <t>113,41*0,14*0,05</t>
  </si>
  <si>
    <t>pozednice pod námětky</t>
  </si>
  <si>
    <t>;ztratné 10%; 0,079</t>
  </si>
  <si>
    <t>104</t>
  </si>
  <si>
    <t>762332120R00</t>
  </si>
  <si>
    <t>Montáž vázaných krovů pravidelných do 224 cm2</t>
  </si>
  <si>
    <t>7,3+48,0+10,7+16,06+10,0+16,64+4,9+10,6</t>
  </si>
  <si>
    <t>pozednice</t>
  </si>
  <si>
    <t>105</t>
  </si>
  <si>
    <t>605560004</t>
  </si>
  <si>
    <t>Řezivo sušené neom. DUB 2,5 až 4,0 m</t>
  </si>
  <si>
    <t>(7,3+48,0+10,7+16,06+10,0+16,64+4,9+10,6)*0,14*0,12</t>
  </si>
  <si>
    <t>;ztratné 10%; 0,209</t>
  </si>
  <si>
    <t>106</t>
  </si>
  <si>
    <t>60515248</t>
  </si>
  <si>
    <t>Hranol stavební SM do 160 x 160 mm, 5 - 6 m</t>
  </si>
  <si>
    <t>(30*4,3+5*6,5)*0,12*0,16</t>
  </si>
  <si>
    <t>námětky</t>
  </si>
  <si>
    <t>;ztratné 10%; 0,31</t>
  </si>
  <si>
    <t>107</t>
  </si>
  <si>
    <t>762332130R00</t>
  </si>
  <si>
    <t>Montáž vázaných krovů pravidelných do 288 cm2</t>
  </si>
  <si>
    <t>měněné krokve</t>
  </si>
  <si>
    <t>6*2,2</t>
  </si>
  <si>
    <t>nové krokve nároží</t>
  </si>
  <si>
    <t>108</t>
  </si>
  <si>
    <t>60515281</t>
  </si>
  <si>
    <t>Hranol stavební SM do 200 x 200 mm, 6 - 10 m</t>
  </si>
  <si>
    <t>50*7,3*0,16*0,18+6*2,2*0,12*0,16</t>
  </si>
  <si>
    <t>;ztratné 10%; 1,077</t>
  </si>
  <si>
    <t>109</t>
  </si>
  <si>
    <t>762332932R00</t>
  </si>
  <si>
    <t>Doplnění střešní vazby z hranolů do 224 cm2 vč.dod</t>
  </si>
  <si>
    <t>110</t>
  </si>
  <si>
    <t>762332933R00</t>
  </si>
  <si>
    <t>Doplnění střešní vazby z hranolů do 288 cm2 vč.dod</t>
  </si>
  <si>
    <t>111</t>
  </si>
  <si>
    <t>762332934R00</t>
  </si>
  <si>
    <t>Doplnění střešní vazby z hranolů do 450 cm2 vč.dod</t>
  </si>
  <si>
    <t>8*5,2+2,6+0,8</t>
  </si>
  <si>
    <t>112</t>
  </si>
  <si>
    <t>762086113R00</t>
  </si>
  <si>
    <t>Otesání tesařských prvků průřezu do 288 cm2</t>
  </si>
  <si>
    <t>3*5,2+2,6+0,8</t>
  </si>
  <si>
    <t>horní 5-ti boké vaznice</t>
  </si>
  <si>
    <t>113</t>
  </si>
  <si>
    <t>762337113RT5</t>
  </si>
  <si>
    <t>Celodřevěný plátový spoj, střeš.vazba, do 450 cm2 šestikolíkový</t>
  </si>
  <si>
    <t>hambálky</t>
  </si>
  <si>
    <t>114</t>
  </si>
  <si>
    <t>762341210R00</t>
  </si>
  <si>
    <t>Montáž bednění střech rovných, prkna hrubá na sraz</t>
  </si>
  <si>
    <t>2*8,1*1,2</t>
  </si>
  <si>
    <t>úžlabí nad vchodem</t>
  </si>
  <si>
    <t>8,25*0,7</t>
  </si>
  <si>
    <t>úžlabí</t>
  </si>
  <si>
    <t>115</t>
  </si>
  <si>
    <t>60511132</t>
  </si>
  <si>
    <t>Prkno stavební omítané SM/BO tl. 24 mm, 4 - 6 m</t>
  </si>
  <si>
    <t>25,22*0,025</t>
  </si>
  <si>
    <t>;ztratné 10%; 0,063</t>
  </si>
  <si>
    <t>116</t>
  </si>
  <si>
    <t>762341811R00</t>
  </si>
  <si>
    <t>Demontáž bednění střech rovných z prken hrubých</t>
  </si>
  <si>
    <t>117</t>
  </si>
  <si>
    <t>762342202R00</t>
  </si>
  <si>
    <t>Montáž laťování střech, vzdálenost latí do 22 cm</t>
  </si>
  <si>
    <t>((7,9+5,6+28,77+27,29)/2+9,7+(15,8+18,48+14,81+19,74+2,02)/2)*4,4</t>
  </si>
  <si>
    <t>spodní část střechy</t>
  </si>
  <si>
    <t>(5,6+3,87+44,19+40,32+41,94+40,32+2,02+3,87)/2*3,8</t>
  </si>
  <si>
    <t>horní část střechy</t>
  </si>
  <si>
    <t>10,81*6,63</t>
  </si>
  <si>
    <t>nad schodištěm</t>
  </si>
  <si>
    <t>(12,92+5,36)/2*7,23-(7,34+5,36)/2*1,49</t>
  </si>
  <si>
    <t>nad vstupem</t>
  </si>
  <si>
    <t>118</t>
  </si>
  <si>
    <t>60510062</t>
  </si>
  <si>
    <t>Lať impregnovaná SM jakost I-II 40 x 60 mm, 4 m</t>
  </si>
  <si>
    <t>825,92/0,15</t>
  </si>
  <si>
    <t>;ztratné 10%; 550,613</t>
  </si>
  <si>
    <t>119</t>
  </si>
  <si>
    <t>762342811R00</t>
  </si>
  <si>
    <t>Demontáž laťování střech, rozteč latí do 22 cm</t>
  </si>
  <si>
    <t>120</t>
  </si>
  <si>
    <t>762354312R00</t>
  </si>
  <si>
    <t>Montáž střešních vikýřů volské oko pl. nad 0,5 m2</t>
  </si>
  <si>
    <t>121</t>
  </si>
  <si>
    <t>762354804R00</t>
  </si>
  <si>
    <t>Demontáž střeš.vikýřů, sklon střechy nad 15°</t>
  </si>
  <si>
    <t>122</t>
  </si>
  <si>
    <t>762395000R00</t>
  </si>
  <si>
    <t>Spojovací a ochranné prostředky pro střechy</t>
  </si>
  <si>
    <t>17*7,3*0,16*0,18+6*2,2*0,12*0,16</t>
  </si>
  <si>
    <t>krokve</t>
  </si>
  <si>
    <t>90*0,75*0,12*0,16</t>
  </si>
  <si>
    <t>100*0,75*0,16*0,18</t>
  </si>
  <si>
    <t>6*5,2*0,16*0,16</t>
  </si>
  <si>
    <t>(20*1,2+3,0)*0,21*0,33</t>
  </si>
  <si>
    <t>(8*5,2+2,6+0,8)*0,18*0,24</t>
  </si>
  <si>
    <t>bednění</t>
  </si>
  <si>
    <t>825,92/0,15*0,06*0,04</t>
  </si>
  <si>
    <t>latě</t>
  </si>
  <si>
    <t>123</t>
  </si>
  <si>
    <t>762811210R00</t>
  </si>
  <si>
    <t>Montáž záklopu, vrchní na sraz, hrubá prkna</t>
  </si>
  <si>
    <t>525</t>
  </si>
  <si>
    <t>celá podlaha půda</t>
  </si>
  <si>
    <t>124</t>
  </si>
  <si>
    <t>525*0,025</t>
  </si>
  <si>
    <t>;ztratné 10%; 1,313</t>
  </si>
  <si>
    <t>762811811R00</t>
  </si>
  <si>
    <t>Demontáž záklopů z hrubých prken tl. do 3,2 cm</t>
  </si>
  <si>
    <t>126</t>
  </si>
  <si>
    <t>762831921R00</t>
  </si>
  <si>
    <t>Vyřezání části strop.trámu do 224 cm2,do dl.3 m</t>
  </si>
  <si>
    <t>11*1,9</t>
  </si>
  <si>
    <t>127</t>
  </si>
  <si>
    <t>762822120R00</t>
  </si>
  <si>
    <t>Montáž stropnic hraněných pl. do 288 cm2</t>
  </si>
  <si>
    <t>128</t>
  </si>
  <si>
    <t>60515229</t>
  </si>
  <si>
    <t>Hranol stavební SM do 140 x 140 mm, 1 - 4 m</t>
  </si>
  <si>
    <t>11*1,9*0,12*0,12</t>
  </si>
  <si>
    <t>;ztratné 10%; 0,03</t>
  </si>
  <si>
    <t>129</t>
  </si>
  <si>
    <t>762822140R00</t>
  </si>
  <si>
    <t>Montáž stropnic hraněných pl. do 540 cm2</t>
  </si>
  <si>
    <t>(32+11+6)*2,3</t>
  </si>
  <si>
    <t>spoje A, B, C</t>
  </si>
  <si>
    <t>46*1,75+3*5,25+42*3</t>
  </si>
  <si>
    <t>spoje D</t>
  </si>
  <si>
    <t>2*1,78+2*3,46+4*2,86</t>
  </si>
  <si>
    <t>komínové výměny</t>
  </si>
  <si>
    <t>9*1,6</t>
  </si>
  <si>
    <t>trámy u štítu</t>
  </si>
  <si>
    <t>2,3+2,7+5,25+3,2</t>
  </si>
  <si>
    <t>trámy vlevo</t>
  </si>
  <si>
    <t>10,9</t>
  </si>
  <si>
    <t>krajní u štítu</t>
  </si>
  <si>
    <t>130</t>
  </si>
  <si>
    <t>60515283</t>
  </si>
  <si>
    <t>Hranol stavební SM nad 200 x 200 mm, 1 - 4 m</t>
  </si>
  <si>
    <t>(32+11+6)*2,3*0,21*0,24</t>
  </si>
  <si>
    <t>(46*1,75+3*5,25+42*3,0)*0,21*0,24</t>
  </si>
  <si>
    <t>(2*1,78+2*3,46+4*2,86)*0,21*0,24</t>
  </si>
  <si>
    <t>9*1,6*0,21*0,24</t>
  </si>
  <si>
    <t>(2,3+2,7+5,25+3,2)*0,21*0,24</t>
  </si>
  <si>
    <t>;ztratné 10%; 1,939</t>
  </si>
  <si>
    <t>131</t>
  </si>
  <si>
    <t>60515286</t>
  </si>
  <si>
    <t>Hranol stavební SM nad 200 x 200 mm, tesaný</t>
  </si>
  <si>
    <t>21,33*0,21*0,24</t>
  </si>
  <si>
    <t>132</t>
  </si>
  <si>
    <t>762831951R00</t>
  </si>
  <si>
    <t>Vyřezání části strop.trámu nad 450 cm2,do dl.3 m</t>
  </si>
  <si>
    <t>46*1,75+3*5,25+42*3,0</t>
  </si>
  <si>
    <t>133</t>
  </si>
  <si>
    <t>762831944R00</t>
  </si>
  <si>
    <t>Vyřezání části strop.trámu do 450 cm2,nad dl.8 m</t>
  </si>
  <si>
    <t>134</t>
  </si>
  <si>
    <t>762841111R00</t>
  </si>
  <si>
    <t>Montáž podbíjení stropů, prkna hrubá s mezerou</t>
  </si>
  <si>
    <t>místnosti do dvora</t>
  </si>
  <si>
    <t>chodba a místnosti protější</t>
  </si>
  <si>
    <t>2*2,65*2,0</t>
  </si>
  <si>
    <t>místnosti štít</t>
  </si>
  <si>
    <t>(2,96+4,78+1,49)*1,66</t>
  </si>
  <si>
    <t>schodiště</t>
  </si>
  <si>
    <t>135</t>
  </si>
  <si>
    <t>60511160</t>
  </si>
  <si>
    <t>Prkno netříděné boční omítané SM/JD/BO tl. 25 mm, 2 m</t>
  </si>
  <si>
    <t>732,85*0,025</t>
  </si>
  <si>
    <t>;ztratné 10%; 1,832</t>
  </si>
  <si>
    <t>136</t>
  </si>
  <si>
    <t>762841812R00</t>
  </si>
  <si>
    <t>Demontáž podbití stropů z prken s omítkou</t>
  </si>
  <si>
    <t>137</t>
  </si>
  <si>
    <t>762895000R00</t>
  </si>
  <si>
    <t>Spojovací prostředky pro montáž stropů</t>
  </si>
  <si>
    <t>395,62*0,21*0,24</t>
  </si>
  <si>
    <t>(525+732,85)*0,025</t>
  </si>
  <si>
    <t>138</t>
  </si>
  <si>
    <t>998762102R00</t>
  </si>
  <si>
    <t>Přesun hmot pro tesařské konstrukce, výšky do 12 m</t>
  </si>
  <si>
    <t>764</t>
  </si>
  <si>
    <t>Konstrukce klempířské</t>
  </si>
  <si>
    <t>139</t>
  </si>
  <si>
    <t>764231230R00</t>
  </si>
  <si>
    <t>Lemování z Cu plechu zdí, tvrdá krytina, rš 330 mm</t>
  </si>
  <si>
    <t>764_</t>
  </si>
  <si>
    <t>15,5</t>
  </si>
  <si>
    <t>u dělící stěny</t>
  </si>
  <si>
    <t>140</t>
  </si>
  <si>
    <t>764239230R00</t>
  </si>
  <si>
    <t>Lemování z Cu, komínů na hladké krytině, v ploše</t>
  </si>
  <si>
    <t>2,04*1,39-1,64*0,99+(2*1,64+2*0,99)*0,2</t>
  </si>
  <si>
    <t>1,16*1,39-0,76*0,99+(2*0,76+2*0,99)*0,2</t>
  </si>
  <si>
    <t>2*(0,95*1,14-0,55*0,74+(2*0,55+2*0,74)*0,2)</t>
  </si>
  <si>
    <t>2,09*1,39-1,69*0,99+(2*1,69+2*0,99)*0,2</t>
  </si>
  <si>
    <t>1,18*1,54-0,78*1,14+(2*0,78+2*1,14)*0,2</t>
  </si>
  <si>
    <t>141</t>
  </si>
  <si>
    <t>764249210R00</t>
  </si>
  <si>
    <t>Oplechování z Cu držáků lana bleskosvodu</t>
  </si>
  <si>
    <t>142</t>
  </si>
  <si>
    <t>764252205R00</t>
  </si>
  <si>
    <t>Žlaby z Cu plechu podokapní půlkruhové, rš 400 mm</t>
  </si>
  <si>
    <t>7,9+28,77+10,81+9,7+12,7+15,8+2*1,35+12,92+14,81</t>
  </si>
  <si>
    <t>demontované žlaby</t>
  </si>
  <si>
    <t>143</t>
  </si>
  <si>
    <t>764252292R00</t>
  </si>
  <si>
    <t>Montáž háků z Cu půlkruhových</t>
  </si>
  <si>
    <t>demontované háky</t>
  </si>
  <si>
    <t>144</t>
  </si>
  <si>
    <t>764252293R00</t>
  </si>
  <si>
    <t>Montáž rohů žlabů z Cu půlkruhových</t>
  </si>
  <si>
    <t>145</t>
  </si>
  <si>
    <t>764252294R00</t>
  </si>
  <si>
    <t>Montáž čel žlabů z Cu půlkruhových</t>
  </si>
  <si>
    <t>146</t>
  </si>
  <si>
    <t>764262220R00</t>
  </si>
  <si>
    <t>Střešní okna z Cu plechu, kryt. hladká, 60 x 60 cm</t>
  </si>
  <si>
    <t>147</t>
  </si>
  <si>
    <t>764292250R00</t>
  </si>
  <si>
    <t>Úžlabí z Cu plechu, rš 660 mm</t>
  </si>
  <si>
    <t>148</t>
  </si>
  <si>
    <t>764292280R00</t>
  </si>
  <si>
    <t>Úžlabí z Cu plechu, rš 1000 mm</t>
  </si>
  <si>
    <t>2*8,1</t>
  </si>
  <si>
    <t>149</t>
  </si>
  <si>
    <t>764331831R00</t>
  </si>
  <si>
    <t>Demontáž lemování zdí, rš 250 a 330 mm, do 45°</t>
  </si>
  <si>
    <t>150</t>
  </si>
  <si>
    <t>764352811R00</t>
  </si>
  <si>
    <t>Demontáž žlabů půlkruh. rovných, rš 330 mm, do 45°</t>
  </si>
  <si>
    <t>151</t>
  </si>
  <si>
    <t>764362811R00</t>
  </si>
  <si>
    <t>Demontáž střešního okna, hladká krytina, do 45°</t>
  </si>
  <si>
    <t>152</t>
  </si>
  <si>
    <t>764392851R00</t>
  </si>
  <si>
    <t>Demontáž úžlabí, rš 660 mm, sklon do 45°</t>
  </si>
  <si>
    <t>2*8,1+8,25</t>
  </si>
  <si>
    <t>153</t>
  </si>
  <si>
    <t>764339831R00</t>
  </si>
  <si>
    <t>Demontáž lemování komínů v ploše, hl. kryt, do 45°</t>
  </si>
  <si>
    <t>154</t>
  </si>
  <si>
    <t>998764102R00</t>
  </si>
  <si>
    <t>Přesun hmot pro klempířské konstr., výšky do 12 m</t>
  </si>
  <si>
    <t>765</t>
  </si>
  <si>
    <t>Krytina tvrdá</t>
  </si>
  <si>
    <t>155</t>
  </si>
  <si>
    <t>765311511RT1</t>
  </si>
  <si>
    <t>Krytina z bobrovek, střech jedn.,šupinová,na sucho</t>
  </si>
  <si>
    <t>765_</t>
  </si>
  <si>
    <t>156</t>
  </si>
  <si>
    <t>765311529R00</t>
  </si>
  <si>
    <t>Krytina vikýře z bobrovek (volské oko)</t>
  </si>
  <si>
    <t>14*2,0*0,4</t>
  </si>
  <si>
    <t>157</t>
  </si>
  <si>
    <t>765311536R00</t>
  </si>
  <si>
    <t>Hřeben bobrovka, hřebenáč č.4, větr.pás Pb/Sn</t>
  </si>
  <si>
    <t>3,87+40,32</t>
  </si>
  <si>
    <t>158</t>
  </si>
  <si>
    <t>765311546R00</t>
  </si>
  <si>
    <t>Nároží bobrovka, hřebenáči č.4 dráž. pás olovo/cín</t>
  </si>
  <si>
    <t>2*10,36+8,60</t>
  </si>
  <si>
    <t>159</t>
  </si>
  <si>
    <t>765311551R00</t>
  </si>
  <si>
    <t>Zakončení štítových hran bobrovkou s ozubem</t>
  </si>
  <si>
    <t>2*6,63</t>
  </si>
  <si>
    <t>160</t>
  </si>
  <si>
    <t>765311723R00</t>
  </si>
  <si>
    <t>Větrací mřížka okapní 5000 x 100 mm</t>
  </si>
  <si>
    <t>161</t>
  </si>
  <si>
    <t>765311810R00</t>
  </si>
  <si>
    <t>Demontáž krytiny bobrovky na sucho, do suti</t>
  </si>
  <si>
    <t>162</t>
  </si>
  <si>
    <t>998765102R00</t>
  </si>
  <si>
    <t>Přesun hmot pro krytiny tvrdé, výšky do 12 m</t>
  </si>
  <si>
    <t>766</t>
  </si>
  <si>
    <t>Konstrukce truhlářské</t>
  </si>
  <si>
    <t>163</t>
  </si>
  <si>
    <t>766622222R00</t>
  </si>
  <si>
    <t>Okna komplet.otvíravá do rámů, 1kříd.do 0,81 m2</t>
  </si>
  <si>
    <t>766_</t>
  </si>
  <si>
    <t>3*2</t>
  </si>
  <si>
    <t>164</t>
  </si>
  <si>
    <t>766662312R00</t>
  </si>
  <si>
    <t>Montáž dveří do rámu,z tvr.dřeva,1kř. do 80 cm</t>
  </si>
  <si>
    <t>165</t>
  </si>
  <si>
    <t>766667911R00</t>
  </si>
  <si>
    <t>Oprava obložení zárubní pro dveře 1křídlové</t>
  </si>
  <si>
    <t>166</t>
  </si>
  <si>
    <t>766661912R01</t>
  </si>
  <si>
    <t>Oprava dveřních a okenních křídel kompl., s výměnou prvků</t>
  </si>
  <si>
    <t>2*1,0*1,68+2*1,05*1,45+2*0,75*0,99</t>
  </si>
  <si>
    <t>okenní křídka</t>
  </si>
  <si>
    <t>0,8*2,0</t>
  </si>
  <si>
    <t>dveře</t>
  </si>
  <si>
    <t>767</t>
  </si>
  <si>
    <t>Konstrukce doplňkové stavební (zámečnické)</t>
  </si>
  <si>
    <t>167</t>
  </si>
  <si>
    <t>767662210R00</t>
  </si>
  <si>
    <t>Montáž mříží otvíravých</t>
  </si>
  <si>
    <t>767_</t>
  </si>
  <si>
    <t>0,9*2,3</t>
  </si>
  <si>
    <t>demontáž</t>
  </si>
  <si>
    <t>zpětná montáž</t>
  </si>
  <si>
    <t>168</t>
  </si>
  <si>
    <t>767995102R00</t>
  </si>
  <si>
    <t>Výroba a montáž kov. atypických konstr. do 10 kg</t>
  </si>
  <si>
    <t>(2*0,3+0,995)*5,42</t>
  </si>
  <si>
    <t>podpěra komína</t>
  </si>
  <si>
    <t>169</t>
  </si>
  <si>
    <t>133301600000</t>
  </si>
  <si>
    <t>Tyč ocelová L rovnoramenná S235JR, rozměr 60 x 60 x 6 mm</t>
  </si>
  <si>
    <t>;ztratné 8%; 0,6912</t>
  </si>
  <si>
    <t>170</t>
  </si>
  <si>
    <t>998767102R00</t>
  </si>
  <si>
    <t>Přesun hmot pro zámečnické konstr., výšky do 12 m</t>
  </si>
  <si>
    <t>783</t>
  </si>
  <si>
    <t>Nátěry</t>
  </si>
  <si>
    <t>171</t>
  </si>
  <si>
    <t>783782205R00</t>
  </si>
  <si>
    <t>Nátěr tesařských konstrukcí fungicidní a insekticidní 2x</t>
  </si>
  <si>
    <t>783_</t>
  </si>
  <si>
    <t>78_</t>
  </si>
  <si>
    <t>113,41*(2*0,14+2*0,05)</t>
  </si>
  <si>
    <t>(7,3+48,0+10,7+16,06+10,0+16,64+4,9+10,6)*(2*0,14+2*0,12)</t>
  </si>
  <si>
    <t>(90*4,3+13*6,5+15*7,1)*(2*0,12+2*0,16)</t>
  </si>
  <si>
    <t>118*7,3*(2*0,16+2*0,18)</t>
  </si>
  <si>
    <t>50*5,35*(2*0,18+2*0,24)+100*1,3*(2*0,12+2*0,16)</t>
  </si>
  <si>
    <t>hambálky+vzpěry</t>
  </si>
  <si>
    <t>10*4,5*(2*0,18+2*0,24)+20*3,54*(2*0,21+2*0,33)</t>
  </si>
  <si>
    <t>20*2,58*(2*0,15+2*0,2)</t>
  </si>
  <si>
    <t>pásky</t>
  </si>
  <si>
    <t>35*5,2*4*0,16</t>
  </si>
  <si>
    <t>(4,7+43,6+4,7+43,5)*(2*0,18+2*0,24)</t>
  </si>
  <si>
    <t>vaznice horní</t>
  </si>
  <si>
    <t>(5,5+45,4+7,3+40,5+9,4)*(2*0,16+2*0,2)</t>
  </si>
  <si>
    <t>vaznice spodní</t>
  </si>
  <si>
    <t>25,22*2</t>
  </si>
  <si>
    <t>825,92/0,15*(2*0,06+2*0,04)</t>
  </si>
  <si>
    <t>2*525</t>
  </si>
  <si>
    <t>záklop stropu</t>
  </si>
  <si>
    <t>podbití stropu</t>
  </si>
  <si>
    <t>(41*9,1+11*12,15+9*1,9+6*3,5)*(0,21+2*0,24)</t>
  </si>
  <si>
    <t>stropní nosníky</t>
  </si>
  <si>
    <t>(30*6,66+11*7,94+12*4,66)*(2*0,13+0,15)</t>
  </si>
  <si>
    <t>rákosníky</t>
  </si>
  <si>
    <t>11*2,06*(2*0,12+2*0,16)</t>
  </si>
  <si>
    <t>strop nad schodištěm</t>
  </si>
  <si>
    <t>0,8*(15,39+12,02+15,8+2*1,28+11,85+9,25+10,81+28,55+8,16)*2</t>
  </si>
  <si>
    <t>obvodové zdivo 4násobný</t>
  </si>
  <si>
    <t>0,45*(10,81+2*2,25)*2</t>
  </si>
  <si>
    <t>schodišťové zdivo 4násobný</t>
  </si>
  <si>
    <t>(42,3+8*6,6+9,8+4,8)*0,8*2</t>
  </si>
  <si>
    <t>střední nosná stěna 4násobný</t>
  </si>
  <si>
    <t>784</t>
  </si>
  <si>
    <t>Malby</t>
  </si>
  <si>
    <t>172</t>
  </si>
  <si>
    <t>784422272R00</t>
  </si>
  <si>
    <t>Malba vápenná 2x, pačok 2x,1barva, místnost do 5 m</t>
  </si>
  <si>
    <t>784_</t>
  </si>
  <si>
    <t>919,97+8,79+4,48</t>
  </si>
  <si>
    <t>nové omítky stěn a kleneb</t>
  </si>
  <si>
    <t>173</t>
  </si>
  <si>
    <t>784402802R00</t>
  </si>
  <si>
    <t>Odstranění malby oškrábáním v místnosti H do 5 m</t>
  </si>
  <si>
    <t>Hodinové zúčtovací sazby (HZS)</t>
  </si>
  <si>
    <t>174</t>
  </si>
  <si>
    <t>902      R00</t>
  </si>
  <si>
    <t>Hzs-průzk.práce na památkách</t>
  </si>
  <si>
    <t>h</t>
  </si>
  <si>
    <t>90_</t>
  </si>
  <si>
    <t>9_</t>
  </si>
  <si>
    <t>300</t>
  </si>
  <si>
    <t>průzkum maleb a omítek</t>
  </si>
  <si>
    <t>Lešení a stavební výtahy</t>
  </si>
  <si>
    <t>175</t>
  </si>
  <si>
    <t>941941031R00</t>
  </si>
  <si>
    <t>Montáž lešení leh.řad.s podlahami,š.do 1 m, H 10 m</t>
  </si>
  <si>
    <t>94_</t>
  </si>
  <si>
    <t>(9,2+29,5+12,8+2*3,25+10,25+13,85+16,8+14+2*2,28+15,4)*7</t>
  </si>
  <si>
    <t>po obvodě stavby</t>
  </si>
  <si>
    <t>176</t>
  </si>
  <si>
    <t>941941191R00</t>
  </si>
  <si>
    <t>Příplatek za každý měsíc použití lešení k pol.1031</t>
  </si>
  <si>
    <t>177</t>
  </si>
  <si>
    <t>941941831R00</t>
  </si>
  <si>
    <t>Demontáž lešení leh.řad.s podlahami,š.1 m, H 10 m</t>
  </si>
  <si>
    <t>178</t>
  </si>
  <si>
    <t>941955002R00</t>
  </si>
  <si>
    <t>Lešení lehké pomocné, výška podlahy do 1,9 m</t>
  </si>
  <si>
    <t>795,8</t>
  </si>
  <si>
    <t>podhledy</t>
  </si>
  <si>
    <t>260</t>
  </si>
  <si>
    <t>půda střední část</t>
  </si>
  <si>
    <t>179</t>
  </si>
  <si>
    <t>943943221R00</t>
  </si>
  <si>
    <t>Montáž lešení prostorové lehké, do 200kg, H 10 m</t>
  </si>
  <si>
    <t>(2*3,6*2,8+2*2,8*2,8+2*2,5*2,5)*5</t>
  </si>
  <si>
    <t>pro opravu komínů</t>
  </si>
  <si>
    <t>943943291R00</t>
  </si>
  <si>
    <t>Příplatek za půdorysnou plochu do 6 m2</t>
  </si>
  <si>
    <t>181</t>
  </si>
  <si>
    <t>943943298R00</t>
  </si>
  <si>
    <t>Pronájem - příplatek za každý den používání prostorového lešení</t>
  </si>
  <si>
    <t>30*241,7</t>
  </si>
  <si>
    <t>182</t>
  </si>
  <si>
    <t>943943821R00</t>
  </si>
  <si>
    <t>Demontáž lešení, prostor. lehké, 200 kPa, H 10 m</t>
  </si>
  <si>
    <t>Různé dokončovací konstrukce a práce na pozemních stavbách</t>
  </si>
  <si>
    <t>183</t>
  </si>
  <si>
    <t>953941711R00</t>
  </si>
  <si>
    <t>Osazení držáků nebo objímek ve zdivu cihelném</t>
  </si>
  <si>
    <t>95_</t>
  </si>
  <si>
    <t>18*2</t>
  </si>
  <si>
    <t>pásovina 80x8-600</t>
  </si>
  <si>
    <t>184</t>
  </si>
  <si>
    <t>13322939</t>
  </si>
  <si>
    <t>Tyč ocelová plochá S355J2, rozměr 80 x 8 mm</t>
  </si>
  <si>
    <t>18*2*0,6*5,02/1000</t>
  </si>
  <si>
    <t>185</t>
  </si>
  <si>
    <t>953981304R00</t>
  </si>
  <si>
    <t>Chemické kotvy, cihly, hl. 125 mm, M16, malta POLY</t>
  </si>
  <si>
    <t>kotvení úhelníků 160/100/10</t>
  </si>
  <si>
    <t>Bourání konstrukcí</t>
  </si>
  <si>
    <t>186</t>
  </si>
  <si>
    <t>962023391R00</t>
  </si>
  <si>
    <t>Bourání zdiva nadzákladového smíšeného na MVC</t>
  </si>
  <si>
    <t>96_</t>
  </si>
  <si>
    <t>187</t>
  </si>
  <si>
    <t>962032631R00</t>
  </si>
  <si>
    <t>Bourání zdiva komínového z cihel na MVC</t>
  </si>
  <si>
    <t>3*0,75*1,5*0,15</t>
  </si>
  <si>
    <t>188</t>
  </si>
  <si>
    <t>965042131R00</t>
  </si>
  <si>
    <t>Bourání mazanin betonových  tl. 10 cm, pl. 4 m2</t>
  </si>
  <si>
    <t>189</t>
  </si>
  <si>
    <t>965041341R00</t>
  </si>
  <si>
    <t>Bourání lehčených mazanin tl. 10 cm, nad 4 m2</t>
  </si>
  <si>
    <t>190</t>
  </si>
  <si>
    <t>968062354R00</t>
  </si>
  <si>
    <t>Vybourání dřevěných rámů oken dvojitých pl. 1 m2</t>
  </si>
  <si>
    <t>2*0,75*0,99</t>
  </si>
  <si>
    <t>okno schodiště - pro zpětné použití</t>
  </si>
  <si>
    <t>191</t>
  </si>
  <si>
    <t>968062455R00</t>
  </si>
  <si>
    <t>Vybourání dřevěných dveřních zárubní pl. do 2 m2</t>
  </si>
  <si>
    <t>sveře schodiště - pro zpětné použití</t>
  </si>
  <si>
    <t>192</t>
  </si>
  <si>
    <t>968061112R00</t>
  </si>
  <si>
    <t>Vyvěšení dřevěných okenních křídel pl. do 1,5 m2</t>
  </si>
  <si>
    <t>193</t>
  </si>
  <si>
    <t>968061125R00</t>
  </si>
  <si>
    <t>Vyvěšení dřevěných dveřních křídel pl. do 2 m2</t>
  </si>
  <si>
    <t>194</t>
  </si>
  <si>
    <t>962032641R00</t>
  </si>
  <si>
    <t>Bourání zdiva komínového z cihel na MC</t>
  </si>
  <si>
    <t>(1,64*0,72+0,76*0,72+2*0,54*0,55+1,69*0,72+0,78*0,83)*0,75</t>
  </si>
  <si>
    <t>rozebrání zhlaví komínů</t>
  </si>
  <si>
    <t>195</t>
  </si>
  <si>
    <t>963023612R00</t>
  </si>
  <si>
    <t>Vybourání schod.stupňů ze zdi kamenné oboustranně</t>
  </si>
  <si>
    <t>pro zpětné použití</t>
  </si>
  <si>
    <t>196</t>
  </si>
  <si>
    <t>964061131R00</t>
  </si>
  <si>
    <t>Uvolnění zhlaví trámu, zeď kamen. průřezu 0,05 m2</t>
  </si>
  <si>
    <t>2*18</t>
  </si>
  <si>
    <t>uvolnění zhlaví schod stupňů</t>
  </si>
  <si>
    <t>Prorážení otvorů a ostatní bourací práce</t>
  </si>
  <si>
    <t>197</t>
  </si>
  <si>
    <t>975011451R00</t>
  </si>
  <si>
    <t>Podpěr.dřevení zákl.zdiv do 2m tl.zdi 90 cm do 5 m</t>
  </si>
  <si>
    <t>97_</t>
  </si>
  <si>
    <t>2*2,3+10,8</t>
  </si>
  <si>
    <t>stěny schodiště</t>
  </si>
  <si>
    <t>198</t>
  </si>
  <si>
    <t>970031025R00</t>
  </si>
  <si>
    <t>Vrtání jádrové do zdiva cihelného d 25 mm</t>
  </si>
  <si>
    <t>2*1,2+5*0,9+5*0,6+5*0,5+3*0,3</t>
  </si>
  <si>
    <t>pro kotevní táhla</t>
  </si>
  <si>
    <t>199</t>
  </si>
  <si>
    <t>971033341R00</t>
  </si>
  <si>
    <t>Vybourání otv. zeď cihel. pl.0,09 m2, tl.30cm, MVC</t>
  </si>
  <si>
    <t>pro nosníky U160 v komíně</t>
  </si>
  <si>
    <t>200</t>
  </si>
  <si>
    <t>978012191R00</t>
  </si>
  <si>
    <t>Otlučení omítek vnitřních rákosov.stropů do 100 %</t>
  </si>
  <si>
    <t>v místě opravy podhledu</t>
  </si>
  <si>
    <t>201</t>
  </si>
  <si>
    <t>978013191R00</t>
  </si>
  <si>
    <t>Otlučení omítek vnitřních stěn v rozsahu do 100 %</t>
  </si>
  <si>
    <t>1346,33</t>
  </si>
  <si>
    <t>dle opravy omítek</t>
  </si>
  <si>
    <t>202</t>
  </si>
  <si>
    <t>979021111R00</t>
  </si>
  <si>
    <t>Výběr a sbírání kamene ručně ze suti s očištěním</t>
  </si>
  <si>
    <t>(96,71+3,14+0,51)*0,75</t>
  </si>
  <si>
    <t>75% vybouraného zdiva</t>
  </si>
  <si>
    <t>3,86</t>
  </si>
  <si>
    <t>203</t>
  </si>
  <si>
    <t>979022011R00</t>
  </si>
  <si>
    <t>Očištění cihel plných od MVC</t>
  </si>
  <si>
    <t>(96,71+3,14+0,51)*0,25</t>
  </si>
  <si>
    <t>25% vybouraného zdiva</t>
  </si>
  <si>
    <t>204</t>
  </si>
  <si>
    <t>973031512R00</t>
  </si>
  <si>
    <t>Vysekání kapes upevň. prvky zeď cihelná hl. 10 cm</t>
  </si>
  <si>
    <t>pro úhelníky 60x6 komín</t>
  </si>
  <si>
    <t>205</t>
  </si>
  <si>
    <t>975043111R00</t>
  </si>
  <si>
    <t>Jednořad.podchycení stropů do 3,5 m,do 750 kg/m</t>
  </si>
  <si>
    <t>4,67+4,7+4,81+6,42+3,04+4,59+4,65+4,77+4,71+4,9+5,33+2,15+6,7+16,01+3,65+7,08</t>
  </si>
  <si>
    <t>celý obvod</t>
  </si>
  <si>
    <t>2*10+2*1,35</t>
  </si>
  <si>
    <t>206</t>
  </si>
  <si>
    <t>975063131R00</t>
  </si>
  <si>
    <t>Podchycení schodů do 3,5 m rovných do 800 kg/m2</t>
  </si>
  <si>
    <t>8,1*1,5</t>
  </si>
  <si>
    <t>schodiště + podesty</t>
  </si>
  <si>
    <t>207</t>
  </si>
  <si>
    <t>978023471R00</t>
  </si>
  <si>
    <t>Vysekání a úprava spár zdiva cihelného komínového</t>
  </si>
  <si>
    <t>ponechané komínové zdivo</t>
  </si>
  <si>
    <t>208</t>
  </si>
  <si>
    <t>978015291R00</t>
  </si>
  <si>
    <t>Otlučení omítek vnějších MVC v složit.1-4 do 100 %</t>
  </si>
  <si>
    <t>209</t>
  </si>
  <si>
    <t>974029167R00</t>
  </si>
  <si>
    <t>Vysekání rýh ve zdi kamenné 15 x 30 cm</t>
  </si>
  <si>
    <t>2*6,15</t>
  </si>
  <si>
    <t>pro vyndání schod stupňů</t>
  </si>
  <si>
    <t>210</t>
  </si>
  <si>
    <t>10,81+2*2,32+9,7+2*1,5</t>
  </si>
  <si>
    <t>schodišťové zdivo z obou stran</t>
  </si>
  <si>
    <t>211</t>
  </si>
  <si>
    <t>975018451R00</t>
  </si>
  <si>
    <t>Příplatek za každý další 1m výš.,zdi 90 cm,do 5 m</t>
  </si>
  <si>
    <t>H99</t>
  </si>
  <si>
    <t>Ostatní přesuny hmot</t>
  </si>
  <si>
    <t>212</t>
  </si>
  <si>
    <t>999281148R00</t>
  </si>
  <si>
    <t>Přesun hmot pro opravy a údržbu do v. 12 m,nošením</t>
  </si>
  <si>
    <t>H99_</t>
  </si>
  <si>
    <t>M21</t>
  </si>
  <si>
    <t>Elektromontáže</t>
  </si>
  <si>
    <t>213</t>
  </si>
  <si>
    <t>210220002R00</t>
  </si>
  <si>
    <t>Vedení uzemňovací na povrchu FeZn D 10 mm - jen montáž</t>
  </si>
  <si>
    <t>M21_</t>
  </si>
  <si>
    <t>(40,5+3,9+2*9,0+11,0+2,5+10+4*6)/2</t>
  </si>
  <si>
    <t>demontáž = 50% montáže</t>
  </si>
  <si>
    <t>214</t>
  </si>
  <si>
    <t>210220002RT3</t>
  </si>
  <si>
    <t>Vedení uzemňovací na povrchu FeZn D 10 mm vč lana a podpěr</t>
  </si>
  <si>
    <t>40,5+3,9+2*9,0+11,0+2,5+10+4*6</t>
  </si>
  <si>
    <t>ve stávajících trasách</t>
  </si>
  <si>
    <t>4*9</t>
  </si>
  <si>
    <t>doplnění na střeše</t>
  </si>
  <si>
    <t>215</t>
  </si>
  <si>
    <t>210220211RT1</t>
  </si>
  <si>
    <t>Tyč jímací s upev. na stř.hřeben do 2 m, do dřeva vč. tyče a držáků</t>
  </si>
  <si>
    <t>216</t>
  </si>
  <si>
    <t>210220211R00</t>
  </si>
  <si>
    <t>Tyč jímací s upev. na stř.hřeben do 2 m, do dřeva</t>
  </si>
  <si>
    <t>5/2</t>
  </si>
  <si>
    <t>demontáž=50% montáže</t>
  </si>
  <si>
    <t>217</t>
  </si>
  <si>
    <t>210220302RT5</t>
  </si>
  <si>
    <t>Svorka hromosvodová nad 2 šrouby /ST, SJ, SR, atd/ vč dodávky SJ</t>
  </si>
  <si>
    <t>2*5</t>
  </si>
  <si>
    <t>jímací tyče</t>
  </si>
  <si>
    <t>218</t>
  </si>
  <si>
    <t>210220302RT6</t>
  </si>
  <si>
    <t>Svorka hromosvodová nad 2 šrouby /ST, SJ, SR, atd/ vč. dodávky SP</t>
  </si>
  <si>
    <t>napojení žlabů</t>
  </si>
  <si>
    <t>219</t>
  </si>
  <si>
    <t>210220801R00</t>
  </si>
  <si>
    <t>Změření zemního odporu, vč. měřicího protokolu</t>
  </si>
  <si>
    <t>svody</t>
  </si>
  <si>
    <t>220</t>
  </si>
  <si>
    <t>210220010R00</t>
  </si>
  <si>
    <t>Nátěr zemnicího pásku do 120 mm2</t>
  </si>
  <si>
    <t>odhad doplnění zemního pásku</t>
  </si>
  <si>
    <t>221</t>
  </si>
  <si>
    <t>210220021R00</t>
  </si>
  <si>
    <t>Vedení uzemňovací v zemi FeZn do 120 mm2 vč.svorek</t>
  </si>
  <si>
    <t>222</t>
  </si>
  <si>
    <t>35441120</t>
  </si>
  <si>
    <t>Pásek uzemňovací pozinkovaný 30 x 4 mm</t>
  </si>
  <si>
    <t>223</t>
  </si>
  <si>
    <t>210220361R00</t>
  </si>
  <si>
    <t>Zemnič tyčový, zaražení a připojení, do 2 m</t>
  </si>
  <si>
    <t>odhad doplnění zemničů</t>
  </si>
  <si>
    <t>224</t>
  </si>
  <si>
    <t>35441865</t>
  </si>
  <si>
    <t>Svorka SJ 2 k zemnicí tyči</t>
  </si>
  <si>
    <t>225</t>
  </si>
  <si>
    <t>354420912</t>
  </si>
  <si>
    <t>Tyč zemnicí  ZT 2,0s  2000 mm</t>
  </si>
  <si>
    <t>226</t>
  </si>
  <si>
    <t>210220111R00</t>
  </si>
  <si>
    <t>Vodiče svodové FeZn D do 10,Al 10,Cu 8, bez podpěr</t>
  </si>
  <si>
    <t>4*8/2</t>
  </si>
  <si>
    <t>demontáž stávajících svodů (50% montáže)</t>
  </si>
  <si>
    <t>227</t>
  </si>
  <si>
    <t>210220101RT1</t>
  </si>
  <si>
    <t>Vodiče svodové FeZn D do 10,Al 10,Cu 8 +podpěry</t>
  </si>
  <si>
    <t>8*8</t>
  </si>
  <si>
    <t>nové svody</t>
  </si>
  <si>
    <t>228</t>
  </si>
  <si>
    <t>210220301RT3</t>
  </si>
  <si>
    <t>Svorka hromosvodová do 2 šroubů /SS, SZ, SO/</t>
  </si>
  <si>
    <t>zkušební svorky</t>
  </si>
  <si>
    <t>229</t>
  </si>
  <si>
    <t>210220301RT1</t>
  </si>
  <si>
    <t>230</t>
  </si>
  <si>
    <t>210220372RT1</t>
  </si>
  <si>
    <t>Úhelník ochranný nebo trubka s držáky do zdiva</t>
  </si>
  <si>
    <t>231</t>
  </si>
  <si>
    <t>210220401RT1</t>
  </si>
  <si>
    <t>Označení svodu štítky, smaltované, umělá hmota</t>
  </si>
  <si>
    <t>všechny svody</t>
  </si>
  <si>
    <t>M46</t>
  </si>
  <si>
    <t>Zemní práce při montážích</t>
  </si>
  <si>
    <t>232</t>
  </si>
  <si>
    <t>460030031RT1</t>
  </si>
  <si>
    <t>Vytrhání kostek velkých,lože písek, nezalité spáry</t>
  </si>
  <si>
    <t>M46_</t>
  </si>
  <si>
    <t>50*1,0</t>
  </si>
  <si>
    <t>odhad pro doplnění zemniče</t>
  </si>
  <si>
    <t>233</t>
  </si>
  <si>
    <t>460030011R00</t>
  </si>
  <si>
    <t>Sejmutí drnu</t>
  </si>
  <si>
    <t>50*1</t>
  </si>
  <si>
    <t>pro doplnění zemniče</t>
  </si>
  <si>
    <t>234</t>
  </si>
  <si>
    <t>460110001R00</t>
  </si>
  <si>
    <t>Sonda pro vyhledání kabelů - výkop</t>
  </si>
  <si>
    <t>pro doplnění zemničů</t>
  </si>
  <si>
    <t>235</t>
  </si>
  <si>
    <t>460110101R00</t>
  </si>
  <si>
    <t>Sonda pro vyhledání kabelů - zához</t>
  </si>
  <si>
    <t>236</t>
  </si>
  <si>
    <t>460200163RT2</t>
  </si>
  <si>
    <t>Výkop kabelové rýhy 35/80 cm  hor.3</t>
  </si>
  <si>
    <t>237</t>
  </si>
  <si>
    <t>460260011R00</t>
  </si>
  <si>
    <t>Pevné spojení páskových zemničů</t>
  </si>
  <si>
    <t>238</t>
  </si>
  <si>
    <t>460570163R00</t>
  </si>
  <si>
    <t>Zához rýhy 35/80 cm, hornina třídy 3, se zhutněním</t>
  </si>
  <si>
    <t>239</t>
  </si>
  <si>
    <t>460620001R00</t>
  </si>
  <si>
    <t>Položení drnu</t>
  </si>
  <si>
    <t>240</t>
  </si>
  <si>
    <t>460650011R00</t>
  </si>
  <si>
    <t>Podkladová vrstva ze štěrku tl. 25 cm</t>
  </si>
  <si>
    <t>S</t>
  </si>
  <si>
    <t>Přesuny sutí</t>
  </si>
  <si>
    <t>241</t>
  </si>
  <si>
    <t>979011211R00</t>
  </si>
  <si>
    <t>Svislá doprava suti a vybour. hmot za 2.NP nošením</t>
  </si>
  <si>
    <t>S_</t>
  </si>
  <si>
    <t>242</t>
  </si>
  <si>
    <t>979081111R00</t>
  </si>
  <si>
    <t>Odvoz suti a vybour. hmot na skládku do 1 km</t>
  </si>
  <si>
    <t>(279,87+0,813+5,247)*0,2</t>
  </si>
  <si>
    <t>20% vybouraného zdiva</t>
  </si>
  <si>
    <t>107,88</t>
  </si>
  <si>
    <t>otlučené omítky</t>
  </si>
  <si>
    <t>52,8</t>
  </si>
  <si>
    <t>mazanina půda</t>
  </si>
  <si>
    <t>0,95</t>
  </si>
  <si>
    <t>mazanina podesta</t>
  </si>
  <si>
    <t>97,94</t>
  </si>
  <si>
    <t>dřevěné konstrukce</t>
  </si>
  <si>
    <t>0,32</t>
  </si>
  <si>
    <t>klempířské konstrukce kromě žlabů</t>
  </si>
  <si>
    <t>243</t>
  </si>
  <si>
    <t>979081121R00</t>
  </si>
  <si>
    <t>Příplatek k odvozu za každý další 1 km</t>
  </si>
  <si>
    <t>317,08*14</t>
  </si>
  <si>
    <t>244</t>
  </si>
  <si>
    <t>979082111R00</t>
  </si>
  <si>
    <t>Vnitrostaveništní doprava suti do 10 m</t>
  </si>
  <si>
    <t>569,5</t>
  </si>
  <si>
    <t>veškerá suť</t>
  </si>
  <si>
    <t>245</t>
  </si>
  <si>
    <t>979082121R00</t>
  </si>
  <si>
    <t>Příplatek k vnitrost. dopravě suti za dalších 5 m</t>
  </si>
  <si>
    <t>6*569,5</t>
  </si>
  <si>
    <t>246</t>
  </si>
  <si>
    <t>979990101R00</t>
  </si>
  <si>
    <t>Poplatek za uložení směsi betonu a cihel skupina 170101 a 170102</t>
  </si>
  <si>
    <t>309,47-90,33-0,32</t>
  </si>
  <si>
    <t>suť bez dřeva a kovů</t>
  </si>
  <si>
    <t>247</t>
  </si>
  <si>
    <t>979990161R00</t>
  </si>
  <si>
    <t>Poplatek za uložení - dřevo, skupina odpadu 170201</t>
  </si>
  <si>
    <t>248</t>
  </si>
  <si>
    <t>979951141R00</t>
  </si>
  <si>
    <t>Výkup kovů - měď, staré kusy a plechy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</si>
  <si>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</si>
  <si>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</si>
  <si>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</si>
  <si>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</si>
  <si>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</si>
  <si>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</si>
  <si>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</si>
  <si>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</si>
  <si>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</si>
  <si>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</si>
  <si>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</si>
  <si>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</si>
  <si>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</si>
  <si>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</si>
  <si>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</si>
  <si>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</si>
  <si>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</si>
  <si>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</si>
  <si>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</si>
  <si>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</si>
  <si>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</si>
  <si>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</si>
  <si>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</si>
  <si>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</si>
  <si>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</si>
  <si>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</si>
  <si>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</si>
  <si>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</si>
  <si>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</si>
  <si>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</si>
  <si>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</si>
  <si>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</si>
  <si>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</si>
  <si>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</si>
  <si>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</si>
  <si>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</si>
  <si>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</si>
  <si>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</si>
  <si>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</si>
  <si>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</si>
  <si>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</si>
  <si>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</si>
  <si>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</si>
  <si>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</si>
  <si>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</si>
  <si>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</si>
  <si>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</si>
  <si>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</si>
  <si>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</si>
  <si>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</si>
  <si>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</si>
  <si>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</si>
  <si>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</si>
  <si>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</si>
  <si>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</si>
  <si>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</si>
  <si>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</si>
  <si>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</si>
  <si>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r>
      <t xml:space="preserve">Výkup kovů - měď, staré kusy a plechy - </t>
    </r>
    <r>
      <rPr>
        <b/>
        <sz val="10"/>
        <color rgb="FF000000"/>
        <rFont val="Arial"/>
        <family val="2"/>
        <charset val="238"/>
      </rPr>
      <t>PONECHAT JEDNOTKOVOU CENU</t>
    </r>
  </si>
  <si>
    <t>Stavební rozpočet - soupis dodávek a prací</t>
  </si>
  <si>
    <t>ukončení námětků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</si>
</sst>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0" fontId="3" fillId="0" borderId="40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2" borderId="44" xfId="0" applyNumberFormat="1" applyFont="1" applyFill="1" applyBorder="1" applyAlignment="1" applyProtection="1">
      <alignment horizontal="center" vertical="center"/>
    </xf>
    <xf numFmtId="0" fontId="7" fillId="2" borderId="47" xfId="0" applyNumberFormat="1" applyFont="1" applyFill="1" applyBorder="1" applyAlignment="1" applyProtection="1">
      <alignment horizontal="center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4" fontId="10" fillId="0" borderId="49" xfId="0" applyNumberFormat="1" applyFont="1" applyFill="1" applyBorder="1" applyAlignment="1" applyProtection="1">
      <alignment horizontal="right" vertical="center"/>
    </xf>
    <xf numFmtId="0" fontId="9" fillId="0" borderId="52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right" vertical="center"/>
    </xf>
    <xf numFmtId="4" fontId="10" fillId="0" borderId="56" xfId="0" applyNumberFormat="1" applyFont="1" applyFill="1" applyBorder="1" applyAlignment="1" applyProtection="1">
      <alignment horizontal="right" vertical="center"/>
    </xf>
    <xf numFmtId="0" fontId="10" fillId="0" borderId="56" xfId="0" applyNumberFormat="1" applyFont="1" applyFill="1" applyBorder="1" applyAlignment="1" applyProtection="1">
      <alignment horizontal="right" vertical="center"/>
    </xf>
    <xf numFmtId="4" fontId="10" fillId="0" borderId="47" xfId="0" applyNumberFormat="1" applyFont="1" applyFill="1" applyBorder="1" applyAlignment="1" applyProtection="1">
      <alignment horizontal="right" vertical="center"/>
    </xf>
    <xf numFmtId="4" fontId="10" fillId="0" borderId="30" xfId="0" applyNumberFormat="1" applyFont="1" applyFill="1" applyBorder="1" applyAlignment="1" applyProtection="1">
      <alignment horizontal="right" vertical="center"/>
    </xf>
    <xf numFmtId="4" fontId="9" fillId="2" borderId="46" xfId="0" applyNumberFormat="1" applyFont="1" applyFill="1" applyBorder="1" applyAlignment="1" applyProtection="1">
      <alignment horizontal="right" vertical="center"/>
    </xf>
    <xf numFmtId="4" fontId="9" fillId="2" borderId="51" xfId="0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49" xfId="0" applyNumberFormat="1" applyFont="1" applyFill="1" applyBorder="1" applyAlignment="1" applyProtection="1">
      <alignment horizontal="righ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0" fillId="0" borderId="64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66" xfId="0" applyNumberFormat="1" applyFont="1" applyFill="1" applyBorder="1" applyAlignment="1" applyProtection="1">
      <alignment horizontal="left" vertical="center"/>
    </xf>
    <xf numFmtId="0" fontId="10" fillId="0" borderId="71" xfId="0" applyNumberFormat="1" applyFont="1" applyFill="1" applyBorder="1" applyAlignment="1" applyProtection="1">
      <alignment horizontal="left" vertical="center"/>
    </xf>
    <xf numFmtId="0" fontId="10" fillId="0" borderId="69" xfId="0" applyNumberFormat="1" applyFont="1" applyFill="1" applyBorder="1" applyAlignment="1" applyProtection="1">
      <alignment horizontal="left" vertical="center"/>
    </xf>
    <xf numFmtId="0" fontId="10" fillId="0" borderId="7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0" fontId="10" fillId="0" borderId="65" xfId="0" applyNumberFormat="1" applyFont="1" applyFill="1" applyBorder="1" applyAlignment="1" applyProtection="1">
      <alignment horizontal="left" vertical="center"/>
    </xf>
    <xf numFmtId="0" fontId="10" fillId="0" borderId="68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1" xfId="0" applyNumberFormat="1" applyFont="1" applyFill="1" applyBorder="1" applyAlignment="1" applyProtection="1">
      <alignment horizontal="left" vertical="center"/>
    </xf>
    <xf numFmtId="0" fontId="9" fillId="2" borderId="58" xfId="0" applyNumberFormat="1" applyFont="1" applyFill="1" applyBorder="1" applyAlignment="1" applyProtection="1">
      <alignment horizontal="left" vertical="center"/>
    </xf>
    <xf numFmtId="0" fontId="9" fillId="2" borderId="59" xfId="0" applyNumberFormat="1" applyFont="1" applyFill="1" applyBorder="1" applyAlignment="1" applyProtection="1">
      <alignment horizontal="left" vertical="center"/>
    </xf>
    <xf numFmtId="0" fontId="9" fillId="2" borderId="53" xfId="0" applyNumberFormat="1" applyFont="1" applyFill="1" applyBorder="1" applyAlignment="1" applyProtection="1">
      <alignment horizontal="left" vertical="center"/>
    </xf>
    <xf numFmtId="0" fontId="9" fillId="2" borderId="60" xfId="0" applyNumberFormat="1" applyFont="1" applyFill="1" applyBorder="1" applyAlignment="1" applyProtection="1">
      <alignment horizontal="left" vertical="center"/>
    </xf>
    <xf numFmtId="0" fontId="9" fillId="2" borderId="45" xfId="0" applyNumberFormat="1" applyFont="1" applyFill="1" applyBorder="1" applyAlignment="1" applyProtection="1">
      <alignment horizontal="left" vertical="center"/>
    </xf>
    <xf numFmtId="0" fontId="9" fillId="2" borderId="50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6" fillId="0" borderId="43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12" fillId="0" borderId="40" xfId="0" applyNumberFormat="1" applyFont="1" applyFill="1" applyBorder="1" applyAlignment="1" applyProtection="1">
      <alignment horizontal="left" vertical="center" wrapText="1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0" fontId="14" fillId="0" borderId="3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9" fillId="0" borderId="76" xfId="0" applyNumberFormat="1" applyFont="1" applyFill="1" applyBorder="1" applyAlignment="1" applyProtection="1">
      <alignment horizontal="left" vertical="center"/>
    </xf>
    <xf numFmtId="0" fontId="9" fillId="0" borderId="77" xfId="0" applyNumberFormat="1" applyFont="1" applyFill="1" applyBorder="1" applyAlignment="1" applyProtection="1">
      <alignment horizontal="left" vertical="center"/>
    </xf>
    <xf numFmtId="0" fontId="9" fillId="0" borderId="78" xfId="0" applyNumberFormat="1" applyFont="1" applyFill="1" applyBorder="1" applyAlignment="1" applyProtection="1">
      <alignment horizontal="left" vertical="center"/>
    </xf>
    <xf numFmtId="4" fontId="9" fillId="0" borderId="80" xfId="0" applyNumberFormat="1" applyFont="1" applyFill="1" applyBorder="1" applyAlignment="1" applyProtection="1">
      <alignment horizontal="right" vertical="center"/>
    </xf>
    <xf numFmtId="0" fontId="9" fillId="0" borderId="77" xfId="0" applyNumberFormat="1" applyFont="1" applyFill="1" applyBorder="1" applyAlignment="1" applyProtection="1">
      <alignment horizontal="right" vertical="center"/>
    </xf>
    <xf numFmtId="0" fontId="9" fillId="0" borderId="78" xfId="0" applyNumberFormat="1" applyFont="1" applyFill="1" applyBorder="1" applyAlignment="1" applyProtection="1">
      <alignment horizontal="righ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13" workbookViewId="0">
      <selection activeCell="A37" sqref="A37:I37"/>
    </sheetView>
  </sheetViews>
  <sheetFormatPr defaultColWidth="12.1171875" defaultRowHeight="15" customHeight="1" x14ac:dyDescent="0.5"/>
  <cols>
    <col min="1" max="1" width="9.1171875" customWidth="1"/>
    <col min="2" max="2" width="12.87890625" customWidth="1"/>
    <col min="3" max="3" width="27.1171875" customWidth="1"/>
    <col min="4" max="4" width="10" customWidth="1"/>
    <col min="5" max="5" width="14" customWidth="1"/>
    <col min="6" max="6" width="27.1171875" customWidth="1"/>
    <col min="7" max="7" width="9.1171875" customWidth="1"/>
    <col min="8" max="8" width="12.87890625" customWidth="1"/>
    <col min="9" max="9" width="27.1171875" customWidth="1"/>
  </cols>
  <sheetData>
    <row r="1" spans="1:9" ht="54.75" customHeight="1" x14ac:dyDescent="0.5">
      <c r="A1" s="116" t="s">
        <v>1335</v>
      </c>
      <c r="B1" s="117"/>
      <c r="C1" s="117"/>
      <c r="D1" s="117"/>
      <c r="E1" s="117"/>
      <c r="F1" s="117"/>
      <c r="G1" s="117"/>
      <c r="H1" s="117"/>
      <c r="I1" s="117"/>
    </row>
    <row r="2" spans="1:9" ht="14.35" x14ac:dyDescent="0.5">
      <c r="A2" s="118" t="s">
        <v>0</v>
      </c>
      <c r="B2" s="119"/>
      <c r="C2" s="113" t="str">
        <f>'Stavební rozpočet'!D2</f>
        <v>Rekonstrukce střechy a stropu a stat zajištění schodiště Panského domu</v>
      </c>
      <c r="D2" s="114"/>
      <c r="E2" s="110" t="s">
        <v>4</v>
      </c>
      <c r="F2" s="110" t="str">
        <f>'Stavební rozpočet'!J2</f>
        <v> </v>
      </c>
      <c r="G2" s="119"/>
      <c r="H2" s="110" t="s">
        <v>1336</v>
      </c>
      <c r="I2" s="121" t="s">
        <v>49</v>
      </c>
    </row>
    <row r="3" spans="1:9" ht="15" customHeight="1" x14ac:dyDescent="0.5">
      <c r="A3" s="120"/>
      <c r="B3" s="73"/>
      <c r="C3" s="115"/>
      <c r="D3" s="115"/>
      <c r="E3" s="73"/>
      <c r="F3" s="73"/>
      <c r="G3" s="73"/>
      <c r="H3" s="73"/>
      <c r="I3" s="122"/>
    </row>
    <row r="4" spans="1:9" ht="14.35" x14ac:dyDescent="0.5">
      <c r="A4" s="111" t="s">
        <v>6</v>
      </c>
      <c r="B4" s="73"/>
      <c r="C4" s="72" t="str">
        <f>'Stavební rozpočet'!D4</f>
        <v xml:space="preserve"> </v>
      </c>
      <c r="D4" s="73"/>
      <c r="E4" s="72" t="s">
        <v>8</v>
      </c>
      <c r="F4" s="72" t="str">
        <f>'Stavební rozpočet'!J4</f>
        <v> </v>
      </c>
      <c r="G4" s="73"/>
      <c r="H4" s="72" t="s">
        <v>1336</v>
      </c>
      <c r="I4" s="122" t="s">
        <v>49</v>
      </c>
    </row>
    <row r="5" spans="1:9" ht="15" customHeight="1" x14ac:dyDescent="0.5">
      <c r="A5" s="120"/>
      <c r="B5" s="73"/>
      <c r="C5" s="73"/>
      <c r="D5" s="73"/>
      <c r="E5" s="73"/>
      <c r="F5" s="73"/>
      <c r="G5" s="73"/>
      <c r="H5" s="73"/>
      <c r="I5" s="122"/>
    </row>
    <row r="6" spans="1:9" ht="14.35" x14ac:dyDescent="0.5">
      <c r="A6" s="111" t="s">
        <v>9</v>
      </c>
      <c r="B6" s="73"/>
      <c r="C6" s="72" t="str">
        <f>'Stavební rozpočet'!D6</f>
        <v xml:space="preserve"> </v>
      </c>
      <c r="D6" s="73"/>
      <c r="E6" s="72" t="s">
        <v>11</v>
      </c>
      <c r="F6" s="72" t="str">
        <f>'Stavební rozpočet'!J6</f>
        <v> </v>
      </c>
      <c r="G6" s="73"/>
      <c r="H6" s="72" t="s">
        <v>1336</v>
      </c>
      <c r="I6" s="122" t="s">
        <v>49</v>
      </c>
    </row>
    <row r="7" spans="1:9" ht="15" customHeight="1" x14ac:dyDescent="0.5">
      <c r="A7" s="120"/>
      <c r="B7" s="73"/>
      <c r="C7" s="73"/>
      <c r="D7" s="73"/>
      <c r="E7" s="73"/>
      <c r="F7" s="73"/>
      <c r="G7" s="73"/>
      <c r="H7" s="73"/>
      <c r="I7" s="122"/>
    </row>
    <row r="8" spans="1:9" ht="14.35" x14ac:dyDescent="0.5">
      <c r="A8" s="111" t="s">
        <v>7</v>
      </c>
      <c r="B8" s="73"/>
      <c r="C8" s="72">
        <f>'Stavební rozpočet'!H4</f>
        <v>0</v>
      </c>
      <c r="D8" s="73"/>
      <c r="E8" s="72" t="s">
        <v>10</v>
      </c>
      <c r="F8" s="72" t="str">
        <f>'Stavební rozpočet'!H6</f>
        <v xml:space="preserve"> </v>
      </c>
      <c r="G8" s="73"/>
      <c r="H8" s="73" t="s">
        <v>1337</v>
      </c>
      <c r="I8" s="123">
        <v>248</v>
      </c>
    </row>
    <row r="9" spans="1:9" ht="14.35" x14ac:dyDescent="0.5">
      <c r="A9" s="120"/>
      <c r="B9" s="73"/>
      <c r="C9" s="73"/>
      <c r="D9" s="73"/>
      <c r="E9" s="73"/>
      <c r="F9" s="73"/>
      <c r="G9" s="73"/>
      <c r="H9" s="73"/>
      <c r="I9" s="122"/>
    </row>
    <row r="10" spans="1:9" ht="14.35" x14ac:dyDescent="0.5">
      <c r="A10" s="111" t="s">
        <v>12</v>
      </c>
      <c r="B10" s="73"/>
      <c r="C10" s="72" t="str">
        <f>'Stavební rozpočet'!D8</f>
        <v xml:space="preserve"> </v>
      </c>
      <c r="D10" s="73"/>
      <c r="E10" s="72" t="s">
        <v>14</v>
      </c>
      <c r="F10" s="72">
        <f>'Stavební rozpočet'!J8</f>
        <v>0</v>
      </c>
      <c r="G10" s="73"/>
      <c r="H10" s="73" t="s">
        <v>1338</v>
      </c>
      <c r="I10" s="104">
        <f>'Stavební rozpočet'!H8</f>
        <v>0</v>
      </c>
    </row>
    <row r="11" spans="1:9" ht="14.35" x14ac:dyDescent="0.5">
      <c r="A11" s="112"/>
      <c r="B11" s="109"/>
      <c r="C11" s="109"/>
      <c r="D11" s="109"/>
      <c r="E11" s="109"/>
      <c r="F11" s="109"/>
      <c r="G11" s="109"/>
      <c r="H11" s="109"/>
      <c r="I11" s="105"/>
    </row>
    <row r="12" spans="1:9" ht="22.7" x14ac:dyDescent="0.5">
      <c r="A12" s="106" t="s">
        <v>1339</v>
      </c>
      <c r="B12" s="106"/>
      <c r="C12" s="106"/>
      <c r="D12" s="106"/>
      <c r="E12" s="106"/>
      <c r="F12" s="106"/>
      <c r="G12" s="106"/>
      <c r="H12" s="106"/>
      <c r="I12" s="106"/>
    </row>
    <row r="13" spans="1:9" ht="26.25" customHeight="1" x14ac:dyDescent="0.5">
      <c r="A13" s="49" t="s">
        <v>1340</v>
      </c>
      <c r="B13" s="107" t="s">
        <v>1341</v>
      </c>
      <c r="C13" s="108"/>
      <c r="D13" s="50" t="s">
        <v>1342</v>
      </c>
      <c r="E13" s="107" t="s">
        <v>1343</v>
      </c>
      <c r="F13" s="108"/>
      <c r="G13" s="50" t="s">
        <v>1344</v>
      </c>
      <c r="H13" s="107" t="s">
        <v>1345</v>
      </c>
      <c r="I13" s="108"/>
    </row>
    <row r="14" spans="1:9" ht="15.35" x14ac:dyDescent="0.5">
      <c r="A14" s="51" t="s">
        <v>1346</v>
      </c>
      <c r="B14" s="52" t="s">
        <v>1347</v>
      </c>
      <c r="C14" s="53">
        <f>SUM('Stavební rozpočet'!AB12:AB634)</f>
        <v>0</v>
      </c>
      <c r="D14" s="94" t="s">
        <v>1348</v>
      </c>
      <c r="E14" s="95"/>
      <c r="F14" s="53">
        <f>VORN!I15</f>
        <v>0</v>
      </c>
      <c r="G14" s="94" t="s">
        <v>1349</v>
      </c>
      <c r="H14" s="95"/>
      <c r="I14" s="53">
        <f>VORN!I21</f>
        <v>-2320.06</v>
      </c>
    </row>
    <row r="15" spans="1:9" ht="15.35" x14ac:dyDescent="0.5">
      <c r="A15" s="54" t="s">
        <v>49</v>
      </c>
      <c r="B15" s="52" t="s">
        <v>32</v>
      </c>
      <c r="C15" s="53">
        <f>SUM('Stavební rozpočet'!AC12:AC634)</f>
        <v>0</v>
      </c>
      <c r="D15" s="94" t="s">
        <v>1350</v>
      </c>
      <c r="E15" s="95"/>
      <c r="F15" s="53">
        <f>VORN!I16</f>
        <v>0</v>
      </c>
      <c r="G15" s="94" t="s">
        <v>1351</v>
      </c>
      <c r="H15" s="95"/>
      <c r="I15" s="53">
        <f>VORN!I22</f>
        <v>0</v>
      </c>
    </row>
    <row r="16" spans="1:9" ht="15.35" x14ac:dyDescent="0.5">
      <c r="A16" s="51" t="s">
        <v>1352</v>
      </c>
      <c r="B16" s="52" t="s">
        <v>1347</v>
      </c>
      <c r="C16" s="53">
        <f>SUM('Stavební rozpočet'!AD12:AD634)</f>
        <v>0</v>
      </c>
      <c r="D16" s="94" t="s">
        <v>1353</v>
      </c>
      <c r="E16" s="95"/>
      <c r="F16" s="53">
        <f>VORN!I17</f>
        <v>-1856.05</v>
      </c>
      <c r="G16" s="94" t="s">
        <v>1354</v>
      </c>
      <c r="H16" s="95"/>
      <c r="I16" s="53">
        <f>VORN!I23</f>
        <v>0</v>
      </c>
    </row>
    <row r="17" spans="1:9" ht="15.35" x14ac:dyDescent="0.5">
      <c r="A17" s="54" t="s">
        <v>49</v>
      </c>
      <c r="B17" s="52" t="s">
        <v>32</v>
      </c>
      <c r="C17" s="53">
        <f>SUM('Stavební rozpočet'!AE12:AE634)</f>
        <v>0</v>
      </c>
      <c r="D17" s="94" t="s">
        <v>49</v>
      </c>
      <c r="E17" s="95"/>
      <c r="F17" s="55" t="s">
        <v>49</v>
      </c>
      <c r="G17" s="94" t="s">
        <v>1355</v>
      </c>
      <c r="H17" s="95"/>
      <c r="I17" s="53">
        <f>VORN!I24</f>
        <v>0</v>
      </c>
    </row>
    <row r="18" spans="1:9" ht="15.35" x14ac:dyDescent="0.5">
      <c r="A18" s="51" t="s">
        <v>1356</v>
      </c>
      <c r="B18" s="52" t="s">
        <v>1347</v>
      </c>
      <c r="C18" s="53">
        <f>SUM('Stavební rozpočet'!AF12:AF634)</f>
        <v>0</v>
      </c>
      <c r="D18" s="94" t="s">
        <v>49</v>
      </c>
      <c r="E18" s="95"/>
      <c r="F18" s="55" t="s">
        <v>49</v>
      </c>
      <c r="G18" s="94" t="s">
        <v>1357</v>
      </c>
      <c r="H18" s="95"/>
      <c r="I18" s="53">
        <f>VORN!I25</f>
        <v>0</v>
      </c>
    </row>
    <row r="19" spans="1:9" ht="15.35" x14ac:dyDescent="0.5">
      <c r="A19" s="54" t="s">
        <v>49</v>
      </c>
      <c r="B19" s="52" t="s">
        <v>32</v>
      </c>
      <c r="C19" s="53">
        <f>SUM('Stavební rozpočet'!AG12:AG634)</f>
        <v>0</v>
      </c>
      <c r="D19" s="94" t="s">
        <v>49</v>
      </c>
      <c r="E19" s="95"/>
      <c r="F19" s="55" t="s">
        <v>49</v>
      </c>
      <c r="G19" s="94" t="s">
        <v>1358</v>
      </c>
      <c r="H19" s="95"/>
      <c r="I19" s="53">
        <f>VORN!I26</f>
        <v>0</v>
      </c>
    </row>
    <row r="20" spans="1:9" ht="15.35" x14ac:dyDescent="0.5">
      <c r="A20" s="86" t="s">
        <v>1359</v>
      </c>
      <c r="B20" s="87"/>
      <c r="C20" s="53">
        <f>SUM('Stavební rozpočet'!AH12:AH634)</f>
        <v>0</v>
      </c>
      <c r="D20" s="94" t="s">
        <v>49</v>
      </c>
      <c r="E20" s="95"/>
      <c r="F20" s="55" t="s">
        <v>49</v>
      </c>
      <c r="G20" s="94" t="s">
        <v>49</v>
      </c>
      <c r="H20" s="95"/>
      <c r="I20" s="55" t="s">
        <v>49</v>
      </c>
    </row>
    <row r="21" spans="1:9" ht="15.35" x14ac:dyDescent="0.5">
      <c r="A21" s="101" t="s">
        <v>1360</v>
      </c>
      <c r="B21" s="102"/>
      <c r="C21" s="56">
        <f>SUM('Stavební rozpočet'!Z12:Z634)</f>
        <v>-46401.190399999999</v>
      </c>
      <c r="D21" s="96" t="s">
        <v>49</v>
      </c>
      <c r="E21" s="97"/>
      <c r="F21" s="57" t="s">
        <v>49</v>
      </c>
      <c r="G21" s="96" t="s">
        <v>49</v>
      </c>
      <c r="H21" s="97"/>
      <c r="I21" s="57" t="s">
        <v>49</v>
      </c>
    </row>
    <row r="22" spans="1:9" ht="16.5" customHeight="1" x14ac:dyDescent="0.5">
      <c r="A22" s="103" t="s">
        <v>1361</v>
      </c>
      <c r="B22" s="99"/>
      <c r="C22" s="58">
        <f>SUM(C14:C21)</f>
        <v>-46401.190399999999</v>
      </c>
      <c r="D22" s="98" t="s">
        <v>1362</v>
      </c>
      <c r="E22" s="99"/>
      <c r="F22" s="58">
        <f>SUM(F14:F21)</f>
        <v>-1856.05</v>
      </c>
      <c r="G22" s="98" t="s">
        <v>1363</v>
      </c>
      <c r="H22" s="99"/>
      <c r="I22" s="58">
        <f>SUM(I14:I21)</f>
        <v>-2320.06</v>
      </c>
    </row>
    <row r="23" spans="1:9" ht="15.35" x14ac:dyDescent="0.5">
      <c r="D23" s="86" t="s">
        <v>1364</v>
      </c>
      <c r="E23" s="87"/>
      <c r="F23" s="59">
        <v>0</v>
      </c>
      <c r="G23" s="100" t="s">
        <v>1365</v>
      </c>
      <c r="H23" s="87"/>
      <c r="I23" s="53">
        <v>0</v>
      </c>
    </row>
    <row r="24" spans="1:9" ht="15.35" x14ac:dyDescent="0.5">
      <c r="G24" s="86" t="s">
        <v>1366</v>
      </c>
      <c r="H24" s="87"/>
      <c r="I24" s="53">
        <f>vorn_sum</f>
        <v>0</v>
      </c>
    </row>
    <row r="25" spans="1:9" ht="15.35" x14ac:dyDescent="0.5">
      <c r="G25" s="86" t="s">
        <v>1367</v>
      </c>
      <c r="H25" s="87"/>
      <c r="I25" s="53">
        <v>0</v>
      </c>
    </row>
    <row r="27" spans="1:9" ht="15.35" x14ac:dyDescent="0.5">
      <c r="A27" s="88" t="s">
        <v>1368</v>
      </c>
      <c r="B27" s="89"/>
      <c r="C27" s="60">
        <f>SUM('Stavební rozpočet'!AJ12:AJ634)</f>
        <v>0</v>
      </c>
    </row>
    <row r="28" spans="1:9" ht="15.35" x14ac:dyDescent="0.5">
      <c r="A28" s="90" t="s">
        <v>1369</v>
      </c>
      <c r="B28" s="91"/>
      <c r="C28" s="61">
        <f>SUM('Stavební rozpočet'!AK12:AK634)</f>
        <v>0</v>
      </c>
      <c r="D28" s="92" t="s">
        <v>1370</v>
      </c>
      <c r="E28" s="89"/>
      <c r="F28" s="60">
        <f>ROUND(C28*(12/100),2)</f>
        <v>0</v>
      </c>
      <c r="G28" s="92" t="s">
        <v>1371</v>
      </c>
      <c r="H28" s="89"/>
      <c r="I28" s="60">
        <f>SUM(C27:C29)</f>
        <v>-50577.3004</v>
      </c>
    </row>
    <row r="29" spans="1:9" ht="15.35" x14ac:dyDescent="0.5">
      <c r="A29" s="90" t="s">
        <v>1372</v>
      </c>
      <c r="B29" s="91"/>
      <c r="C29" s="61">
        <f>SUM('Stavební rozpočet'!AL12:AL634)+(F22+I22+F23+I23+I24+I25)</f>
        <v>-50577.3004</v>
      </c>
      <c r="D29" s="93" t="s">
        <v>1373</v>
      </c>
      <c r="E29" s="91"/>
      <c r="F29" s="61">
        <f>ROUND(C29*(21/100),2)</f>
        <v>-10621.23</v>
      </c>
      <c r="G29" s="93" t="s">
        <v>1374</v>
      </c>
      <c r="H29" s="91"/>
      <c r="I29" s="61">
        <f>SUM(F28:F29)+I28</f>
        <v>-61198.530400000003</v>
      </c>
    </row>
    <row r="31" spans="1:9" x14ac:dyDescent="0.5">
      <c r="A31" s="83" t="s">
        <v>1375</v>
      </c>
      <c r="B31" s="75"/>
      <c r="C31" s="76"/>
      <c r="D31" s="74" t="s">
        <v>1376</v>
      </c>
      <c r="E31" s="75"/>
      <c r="F31" s="76"/>
      <c r="G31" s="74" t="s">
        <v>1377</v>
      </c>
      <c r="H31" s="75"/>
      <c r="I31" s="76"/>
    </row>
    <row r="32" spans="1:9" x14ac:dyDescent="0.5">
      <c r="A32" s="84" t="s">
        <v>49</v>
      </c>
      <c r="B32" s="78"/>
      <c r="C32" s="79"/>
      <c r="D32" s="77" t="s">
        <v>49</v>
      </c>
      <c r="E32" s="78"/>
      <c r="F32" s="79"/>
      <c r="G32" s="77" t="s">
        <v>49</v>
      </c>
      <c r="H32" s="78"/>
      <c r="I32" s="79"/>
    </row>
    <row r="33" spans="1:9" x14ac:dyDescent="0.5">
      <c r="A33" s="84" t="s">
        <v>49</v>
      </c>
      <c r="B33" s="78"/>
      <c r="C33" s="79"/>
      <c r="D33" s="77" t="s">
        <v>49</v>
      </c>
      <c r="E33" s="78"/>
      <c r="F33" s="79"/>
      <c r="G33" s="77" t="s">
        <v>49</v>
      </c>
      <c r="H33" s="78"/>
      <c r="I33" s="79"/>
    </row>
    <row r="34" spans="1:9" x14ac:dyDescent="0.5">
      <c r="A34" s="84" t="s">
        <v>49</v>
      </c>
      <c r="B34" s="78"/>
      <c r="C34" s="79"/>
      <c r="D34" s="77" t="s">
        <v>49</v>
      </c>
      <c r="E34" s="78"/>
      <c r="F34" s="79"/>
      <c r="G34" s="77" t="s">
        <v>49</v>
      </c>
      <c r="H34" s="78"/>
      <c r="I34" s="79"/>
    </row>
    <row r="35" spans="1:9" x14ac:dyDescent="0.5">
      <c r="A35" s="85" t="s">
        <v>1378</v>
      </c>
      <c r="B35" s="81"/>
      <c r="C35" s="82"/>
      <c r="D35" s="80" t="s">
        <v>1378</v>
      </c>
      <c r="E35" s="81"/>
      <c r="F35" s="82"/>
      <c r="G35" s="80" t="s">
        <v>1378</v>
      </c>
      <c r="H35" s="81"/>
      <c r="I35" s="82"/>
    </row>
    <row r="36" spans="1:9" ht="14.35" x14ac:dyDescent="0.5">
      <c r="A36" s="62" t="s">
        <v>1334</v>
      </c>
    </row>
    <row r="37" spans="1:9" ht="12.75" customHeight="1" x14ac:dyDescent="0.5">
      <c r="A37" s="72" t="s">
        <v>49</v>
      </c>
      <c r="B37" s="73"/>
      <c r="C37" s="73"/>
      <c r="D37" s="73"/>
      <c r="E37" s="73"/>
      <c r="F37" s="73"/>
      <c r="G37" s="73"/>
      <c r="H37" s="73"/>
      <c r="I37" s="73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637"/>
  <sheetViews>
    <sheetView tabSelected="1" workbookViewId="0">
      <pane ySplit="11" topLeftCell="A623" activePane="bottomLeft" state="frozen"/>
      <selection pane="bottomLeft" activeCell="E195" sqref="E195"/>
    </sheetView>
  </sheetViews>
  <sheetFormatPr defaultColWidth="12.1171875" defaultRowHeight="15" customHeight="1" x14ac:dyDescent="0.5"/>
  <cols>
    <col min="1" max="1" width="4" customWidth="1"/>
    <col min="2" max="2" width="7.5859375" customWidth="1"/>
    <col min="3" max="3" width="17.87890625" customWidth="1"/>
    <col min="4" max="4" width="42.87890625" customWidth="1"/>
    <col min="5" max="5" width="35.703125" customWidth="1"/>
    <col min="6" max="6" width="7.41015625" customWidth="1"/>
    <col min="7" max="7" width="12.87890625" customWidth="1"/>
    <col min="8" max="8" width="12" customWidth="1"/>
    <col min="9" max="9" width="11.1171875" customWidth="1"/>
    <col min="10" max="13" width="15.703125" customWidth="1"/>
    <col min="14" max="15" width="11.703125" customWidth="1"/>
    <col min="16" max="16" width="13.41015625" customWidth="1"/>
    <col min="25" max="75" width="12.1171875" hidden="1"/>
    <col min="76" max="76" width="78.5859375" hidden="1" customWidth="1"/>
    <col min="77" max="78" width="12.1171875" hidden="1"/>
  </cols>
  <sheetData>
    <row r="1" spans="1:76" ht="54.75" customHeight="1" x14ac:dyDescent="0.5">
      <c r="A1" s="141" t="s">
        <v>1392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35" x14ac:dyDescent="0.5">
      <c r="A2" s="118" t="s">
        <v>0</v>
      </c>
      <c r="B2" s="119"/>
      <c r="C2" s="119"/>
      <c r="D2" s="143" t="s">
        <v>1</v>
      </c>
      <c r="E2" s="144"/>
      <c r="F2" s="119" t="s">
        <v>2</v>
      </c>
      <c r="G2" s="119"/>
      <c r="H2" s="119" t="s">
        <v>3</v>
      </c>
      <c r="I2" s="110" t="s">
        <v>4</v>
      </c>
      <c r="J2" s="119" t="s">
        <v>5</v>
      </c>
      <c r="K2" s="119"/>
      <c r="L2" s="119"/>
      <c r="M2" s="119"/>
      <c r="N2" s="119"/>
      <c r="O2" s="119"/>
      <c r="P2" s="121"/>
    </row>
    <row r="3" spans="1:76" ht="14.35" x14ac:dyDescent="0.5">
      <c r="A3" s="120"/>
      <c r="B3" s="73"/>
      <c r="C3" s="73"/>
      <c r="D3" s="145"/>
      <c r="E3" s="145"/>
      <c r="F3" s="73"/>
      <c r="G3" s="73"/>
      <c r="H3" s="73"/>
      <c r="I3" s="73"/>
      <c r="J3" s="73"/>
      <c r="K3" s="73"/>
      <c r="L3" s="73"/>
      <c r="M3" s="73"/>
      <c r="N3" s="73"/>
      <c r="O3" s="73"/>
      <c r="P3" s="122"/>
    </row>
    <row r="4" spans="1:76" ht="14.35" x14ac:dyDescent="0.5">
      <c r="A4" s="111" t="s">
        <v>6</v>
      </c>
      <c r="B4" s="73"/>
      <c r="C4" s="73"/>
      <c r="D4" s="72" t="s">
        <v>3</v>
      </c>
      <c r="E4" s="73"/>
      <c r="F4" s="73" t="s">
        <v>7</v>
      </c>
      <c r="G4" s="73"/>
      <c r="H4" s="73"/>
      <c r="I4" s="72" t="s">
        <v>8</v>
      </c>
      <c r="J4" s="73" t="s">
        <v>5</v>
      </c>
      <c r="K4" s="73"/>
      <c r="L4" s="73"/>
      <c r="M4" s="73"/>
      <c r="N4" s="73"/>
      <c r="O4" s="73"/>
      <c r="P4" s="122"/>
    </row>
    <row r="5" spans="1:76" ht="14.35" x14ac:dyDescent="0.5">
      <c r="A5" s="120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122"/>
    </row>
    <row r="6" spans="1:76" ht="14.35" x14ac:dyDescent="0.5">
      <c r="A6" s="111" t="s">
        <v>9</v>
      </c>
      <c r="B6" s="73"/>
      <c r="C6" s="73"/>
      <c r="D6" s="72" t="s">
        <v>3</v>
      </c>
      <c r="E6" s="73"/>
      <c r="F6" s="73" t="s">
        <v>10</v>
      </c>
      <c r="G6" s="73"/>
      <c r="H6" s="73" t="s">
        <v>3</v>
      </c>
      <c r="I6" s="72" t="s">
        <v>11</v>
      </c>
      <c r="J6" s="73" t="s">
        <v>5</v>
      </c>
      <c r="K6" s="73"/>
      <c r="L6" s="73"/>
      <c r="M6" s="73"/>
      <c r="N6" s="73"/>
      <c r="O6" s="73"/>
      <c r="P6" s="122"/>
    </row>
    <row r="7" spans="1:76" ht="14.35" x14ac:dyDescent="0.5">
      <c r="A7" s="120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122"/>
    </row>
    <row r="8" spans="1:76" ht="14.35" x14ac:dyDescent="0.5">
      <c r="A8" s="111" t="s">
        <v>12</v>
      </c>
      <c r="B8" s="73"/>
      <c r="C8" s="73"/>
      <c r="D8" s="72" t="s">
        <v>3</v>
      </c>
      <c r="E8" s="73"/>
      <c r="F8" s="73" t="s">
        <v>13</v>
      </c>
      <c r="G8" s="73"/>
      <c r="H8" s="73"/>
      <c r="I8" s="72" t="s">
        <v>14</v>
      </c>
      <c r="J8" s="72"/>
      <c r="K8" s="73"/>
      <c r="L8" s="73"/>
      <c r="M8" s="73"/>
      <c r="N8" s="73"/>
      <c r="O8" s="73"/>
      <c r="P8" s="122"/>
    </row>
    <row r="9" spans="1:76" ht="14.35" x14ac:dyDescent="0.5">
      <c r="A9" s="142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8"/>
    </row>
    <row r="10" spans="1:76" ht="14.35" x14ac:dyDescent="0.5">
      <c r="A10" s="5" t="s">
        <v>15</v>
      </c>
      <c r="B10" s="6" t="s">
        <v>16</v>
      </c>
      <c r="C10" s="6" t="s">
        <v>17</v>
      </c>
      <c r="D10" s="139" t="s">
        <v>18</v>
      </c>
      <c r="E10" s="140"/>
      <c r="F10" s="6" t="s">
        <v>19</v>
      </c>
      <c r="G10" s="7" t="s">
        <v>20</v>
      </c>
      <c r="H10" s="8" t="s">
        <v>21</v>
      </c>
      <c r="I10" s="9" t="s">
        <v>22</v>
      </c>
      <c r="J10" s="130" t="s">
        <v>23</v>
      </c>
      <c r="K10" s="131"/>
      <c r="L10" s="132"/>
      <c r="M10" s="10" t="s">
        <v>23</v>
      </c>
      <c r="N10" s="133" t="s">
        <v>24</v>
      </c>
      <c r="O10" s="134"/>
      <c r="P10" s="11" t="s">
        <v>25</v>
      </c>
      <c r="BK10" s="12" t="s">
        <v>26</v>
      </c>
      <c r="BL10" s="13" t="s">
        <v>27</v>
      </c>
      <c r="BW10" s="13" t="s">
        <v>28</v>
      </c>
    </row>
    <row r="11" spans="1:76" ht="14.35" x14ac:dyDescent="0.5">
      <c r="A11" s="14" t="s">
        <v>3</v>
      </c>
      <c r="B11" s="15" t="s">
        <v>3</v>
      </c>
      <c r="C11" s="15" t="s">
        <v>3</v>
      </c>
      <c r="D11" s="128" t="s">
        <v>29</v>
      </c>
      <c r="E11" s="129"/>
      <c r="F11" s="15" t="s">
        <v>3</v>
      </c>
      <c r="G11" s="15" t="s">
        <v>3</v>
      </c>
      <c r="H11" s="16" t="s">
        <v>30</v>
      </c>
      <c r="I11" s="17" t="s">
        <v>3</v>
      </c>
      <c r="J11" s="18" t="s">
        <v>31</v>
      </c>
      <c r="K11" s="19" t="s">
        <v>32</v>
      </c>
      <c r="L11" s="20" t="s">
        <v>33</v>
      </c>
      <c r="M11" s="21" t="s">
        <v>34</v>
      </c>
      <c r="N11" s="22" t="s">
        <v>35</v>
      </c>
      <c r="O11" s="23" t="s">
        <v>33</v>
      </c>
      <c r="P11" s="24" t="s">
        <v>36</v>
      </c>
      <c r="Z11" s="12" t="s">
        <v>37</v>
      </c>
      <c r="AA11" s="12" t="s">
        <v>38</v>
      </c>
      <c r="AB11" s="12" t="s">
        <v>39</v>
      </c>
      <c r="AC11" s="12" t="s">
        <v>40</v>
      </c>
      <c r="AD11" s="12" t="s">
        <v>41</v>
      </c>
      <c r="AE11" s="12" t="s">
        <v>42</v>
      </c>
      <c r="AF11" s="12" t="s">
        <v>43</v>
      </c>
      <c r="AG11" s="12" t="s">
        <v>44</v>
      </c>
      <c r="AH11" s="12" t="s">
        <v>45</v>
      </c>
      <c r="BH11" s="12" t="s">
        <v>46</v>
      </c>
      <c r="BI11" s="12" t="s">
        <v>47</v>
      </c>
      <c r="BJ11" s="12" t="s">
        <v>48</v>
      </c>
    </row>
    <row r="12" spans="1:76" ht="14.35" x14ac:dyDescent="0.5">
      <c r="A12" s="25" t="s">
        <v>49</v>
      </c>
      <c r="B12" s="26" t="s">
        <v>49</v>
      </c>
      <c r="C12" s="26" t="s">
        <v>50</v>
      </c>
      <c r="D12" s="135" t="s">
        <v>51</v>
      </c>
      <c r="E12" s="136"/>
      <c r="F12" s="27" t="s">
        <v>3</v>
      </c>
      <c r="G12" s="27" t="s">
        <v>3</v>
      </c>
      <c r="H12" s="27" t="s">
        <v>3</v>
      </c>
      <c r="I12" s="27" t="s">
        <v>3</v>
      </c>
      <c r="J12" s="28">
        <f>SUM(J13:J18)</f>
        <v>0</v>
      </c>
      <c r="K12" s="28">
        <f>SUM(K13:K18)</f>
        <v>0</v>
      </c>
      <c r="L12" s="28">
        <f>SUM(L13:L18)</f>
        <v>0</v>
      </c>
      <c r="M12" s="28">
        <f>SUM(M13:M18)</f>
        <v>0</v>
      </c>
      <c r="N12" s="29" t="s">
        <v>49</v>
      </c>
      <c r="O12" s="28">
        <f>SUM(O13:O18)</f>
        <v>0</v>
      </c>
      <c r="P12" s="30" t="s">
        <v>49</v>
      </c>
      <c r="AI12" s="12" t="s">
        <v>49</v>
      </c>
      <c r="AS12" s="1">
        <f>SUM(AJ13:AJ18)</f>
        <v>0</v>
      </c>
      <c r="AT12" s="1">
        <f>SUM(AK13:AK18)</f>
        <v>0</v>
      </c>
      <c r="AU12" s="1">
        <f>SUM(AL13:AL18)</f>
        <v>0</v>
      </c>
    </row>
    <row r="13" spans="1:76" ht="14.35" x14ac:dyDescent="0.5">
      <c r="A13" s="2" t="s">
        <v>52</v>
      </c>
      <c r="B13" s="3" t="s">
        <v>49</v>
      </c>
      <c r="C13" s="3" t="s">
        <v>53</v>
      </c>
      <c r="D13" s="72" t="s">
        <v>54</v>
      </c>
      <c r="E13" s="73"/>
      <c r="F13" s="3" t="s">
        <v>55</v>
      </c>
      <c r="G13" s="31">
        <v>3.86</v>
      </c>
      <c r="H13" s="71"/>
      <c r="I13" s="32" t="s">
        <v>56</v>
      </c>
      <c r="J13" s="31">
        <f>G13*AO13</f>
        <v>0</v>
      </c>
      <c r="K13" s="31">
        <f>G13*AP13</f>
        <v>0</v>
      </c>
      <c r="L13" s="31">
        <f>G13*H13</f>
        <v>0</v>
      </c>
      <c r="M13" s="31">
        <f>L13*(1+BW13/100)</f>
        <v>0</v>
      </c>
      <c r="N13" s="31">
        <v>0</v>
      </c>
      <c r="O13" s="31">
        <f>G13*N13</f>
        <v>0</v>
      </c>
      <c r="P13" s="33" t="s">
        <v>57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49</v>
      </c>
      <c r="AJ13" s="31">
        <f>IF(AN13=0,L13,0)</f>
        <v>0</v>
      </c>
      <c r="AK13" s="31">
        <f>IF(AN13=12,L13,0)</f>
        <v>0</v>
      </c>
      <c r="AL13" s="31">
        <f>IF(AN13=21,L13,0)</f>
        <v>0</v>
      </c>
      <c r="AN13" s="31">
        <v>21</v>
      </c>
      <c r="AO13" s="31">
        <f>H13*0</f>
        <v>0</v>
      </c>
      <c r="AP13" s="31">
        <f>H13*(1-0)</f>
        <v>0</v>
      </c>
      <c r="AQ13" s="32" t="s">
        <v>52</v>
      </c>
      <c r="AV13" s="31">
        <f>AW13+AX13</f>
        <v>0</v>
      </c>
      <c r="AW13" s="31">
        <f>G13*AO13</f>
        <v>0</v>
      </c>
      <c r="AX13" s="31">
        <f>G13*AP13</f>
        <v>0</v>
      </c>
      <c r="AY13" s="32" t="s">
        <v>58</v>
      </c>
      <c r="AZ13" s="32" t="s">
        <v>59</v>
      </c>
      <c r="BA13" s="12" t="s">
        <v>60</v>
      </c>
      <c r="BC13" s="31">
        <f>AW13+AX13</f>
        <v>0</v>
      </c>
      <c r="BD13" s="31">
        <f>H13/(100-BE13)*100</f>
        <v>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0</v>
      </c>
      <c r="BJ13" s="31">
        <f>G13*H13</f>
        <v>0</v>
      </c>
      <c r="BK13" s="31"/>
      <c r="BL13" s="31">
        <v>13</v>
      </c>
      <c r="BW13" s="31" t="str">
        <f>I13</f>
        <v>21</v>
      </c>
      <c r="BX13" s="4" t="s">
        <v>54</v>
      </c>
    </row>
    <row r="14" spans="1:76" ht="14.35" x14ac:dyDescent="0.5">
      <c r="A14" s="34"/>
      <c r="D14" s="35" t="s">
        <v>61</v>
      </c>
      <c r="E14" s="35" t="s">
        <v>62</v>
      </c>
      <c r="G14" s="36">
        <v>3.86</v>
      </c>
      <c r="P14" s="37"/>
    </row>
    <row r="15" spans="1:76" ht="14.35" x14ac:dyDescent="0.5">
      <c r="A15" s="2" t="s">
        <v>63</v>
      </c>
      <c r="B15" s="3" t="s">
        <v>49</v>
      </c>
      <c r="C15" s="3" t="s">
        <v>64</v>
      </c>
      <c r="D15" s="72" t="s">
        <v>65</v>
      </c>
      <c r="E15" s="73"/>
      <c r="F15" s="3" t="s">
        <v>55</v>
      </c>
      <c r="G15" s="31">
        <v>31.46</v>
      </c>
      <c r="H15" s="71"/>
      <c r="I15" s="32" t="s">
        <v>56</v>
      </c>
      <c r="J15" s="31">
        <f>G15*AO15</f>
        <v>0</v>
      </c>
      <c r="K15" s="31">
        <f>G15*AP15</f>
        <v>0</v>
      </c>
      <c r="L15" s="31">
        <f>G15*H15</f>
        <v>0</v>
      </c>
      <c r="M15" s="31">
        <f>L15*(1+BW15/100)</f>
        <v>0</v>
      </c>
      <c r="N15" s="31">
        <v>0</v>
      </c>
      <c r="O15" s="31">
        <f>G15*N15</f>
        <v>0</v>
      </c>
      <c r="P15" s="33" t="s">
        <v>57</v>
      </c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49</v>
      </c>
      <c r="AJ15" s="31">
        <f>IF(AN15=0,L15,0)</f>
        <v>0</v>
      </c>
      <c r="AK15" s="31">
        <f>IF(AN15=12,L15,0)</f>
        <v>0</v>
      </c>
      <c r="AL15" s="31">
        <f>IF(AN15=21,L15,0)</f>
        <v>0</v>
      </c>
      <c r="AN15" s="31">
        <v>21</v>
      </c>
      <c r="AO15" s="31">
        <f>H15*0</f>
        <v>0</v>
      </c>
      <c r="AP15" s="31">
        <f>H15*(1-0)</f>
        <v>0</v>
      </c>
      <c r="AQ15" s="32" t="s">
        <v>52</v>
      </c>
      <c r="AV15" s="31">
        <f>AW15+AX15</f>
        <v>0</v>
      </c>
      <c r="AW15" s="31">
        <f>G15*AO15</f>
        <v>0</v>
      </c>
      <c r="AX15" s="31">
        <f>G15*AP15</f>
        <v>0</v>
      </c>
      <c r="AY15" s="32" t="s">
        <v>58</v>
      </c>
      <c r="AZ15" s="32" t="s">
        <v>59</v>
      </c>
      <c r="BA15" s="12" t="s">
        <v>60</v>
      </c>
      <c r="BC15" s="31">
        <f>AW15+AX15</f>
        <v>0</v>
      </c>
      <c r="BD15" s="31">
        <f>H15/(100-BE15)*100</f>
        <v>0</v>
      </c>
      <c r="BE15" s="31">
        <v>0</v>
      </c>
      <c r="BF15" s="31">
        <f>O15</f>
        <v>0</v>
      </c>
      <c r="BH15" s="31">
        <f>G15*AO15</f>
        <v>0</v>
      </c>
      <c r="BI15" s="31">
        <f>G15*AP15</f>
        <v>0</v>
      </c>
      <c r="BJ15" s="31">
        <f>G15*H15</f>
        <v>0</v>
      </c>
      <c r="BK15" s="31"/>
      <c r="BL15" s="31">
        <v>13</v>
      </c>
      <c r="BW15" s="31" t="str">
        <f>I15</f>
        <v>21</v>
      </c>
      <c r="BX15" s="4" t="s">
        <v>65</v>
      </c>
    </row>
    <row r="16" spans="1:76" ht="14.35" x14ac:dyDescent="0.5">
      <c r="A16" s="34"/>
      <c r="D16" s="35" t="s">
        <v>66</v>
      </c>
      <c r="E16" s="35" t="s">
        <v>67</v>
      </c>
      <c r="G16" s="36">
        <v>36.43</v>
      </c>
      <c r="P16" s="37"/>
    </row>
    <row r="17" spans="1:76" ht="14.35" x14ac:dyDescent="0.5">
      <c r="A17" s="34"/>
      <c r="D17" s="35" t="s">
        <v>68</v>
      </c>
      <c r="E17" s="35" t="s">
        <v>69</v>
      </c>
      <c r="G17" s="36">
        <v>-4.97</v>
      </c>
      <c r="P17" s="37"/>
    </row>
    <row r="18" spans="1:76" ht="14.35" x14ac:dyDescent="0.5">
      <c r="A18" s="2" t="s">
        <v>70</v>
      </c>
      <c r="B18" s="3" t="s">
        <v>49</v>
      </c>
      <c r="C18" s="3" t="s">
        <v>71</v>
      </c>
      <c r="D18" s="72" t="s">
        <v>72</v>
      </c>
      <c r="E18" s="73"/>
      <c r="F18" s="3" t="s">
        <v>55</v>
      </c>
      <c r="G18" s="31">
        <v>4.4800000000000004</v>
      </c>
      <c r="H18" s="71"/>
      <c r="I18" s="32" t="s">
        <v>56</v>
      </c>
      <c r="J18" s="31">
        <f>G18*AO18</f>
        <v>0</v>
      </c>
      <c r="K18" s="31">
        <f>G18*AP18</f>
        <v>0</v>
      </c>
      <c r="L18" s="31">
        <f>G18*H18</f>
        <v>0</v>
      </c>
      <c r="M18" s="31">
        <f>L18*(1+BW18/100)</f>
        <v>0</v>
      </c>
      <c r="N18" s="31">
        <v>0</v>
      </c>
      <c r="O18" s="31">
        <f>G18*N18</f>
        <v>0</v>
      </c>
      <c r="P18" s="33" t="s">
        <v>57</v>
      </c>
      <c r="Z18" s="31">
        <f>IF(AQ18="5",BJ18,0)</f>
        <v>0</v>
      </c>
      <c r="AB18" s="31">
        <f>IF(AQ18="1",BH18,0)</f>
        <v>0</v>
      </c>
      <c r="AC18" s="31">
        <f>IF(AQ18="1",BI18,0)</f>
        <v>0</v>
      </c>
      <c r="AD18" s="31">
        <f>IF(AQ18="7",BH18,0)</f>
        <v>0</v>
      </c>
      <c r="AE18" s="31">
        <f>IF(AQ18="7",BI18,0)</f>
        <v>0</v>
      </c>
      <c r="AF18" s="31">
        <f>IF(AQ18="2",BH18,0)</f>
        <v>0</v>
      </c>
      <c r="AG18" s="31">
        <f>IF(AQ18="2",BI18,0)</f>
        <v>0</v>
      </c>
      <c r="AH18" s="31">
        <f>IF(AQ18="0",BJ18,0)</f>
        <v>0</v>
      </c>
      <c r="AI18" s="12" t="s">
        <v>49</v>
      </c>
      <c r="AJ18" s="31">
        <f>IF(AN18=0,L18,0)</f>
        <v>0</v>
      </c>
      <c r="AK18" s="31">
        <f>IF(AN18=12,L18,0)</f>
        <v>0</v>
      </c>
      <c r="AL18" s="31">
        <f>IF(AN18=21,L18,0)</f>
        <v>0</v>
      </c>
      <c r="AN18" s="31">
        <v>21</v>
      </c>
      <c r="AO18" s="31">
        <f>H18*0</f>
        <v>0</v>
      </c>
      <c r="AP18" s="31">
        <f>H18*(1-0)</f>
        <v>0</v>
      </c>
      <c r="AQ18" s="32" t="s">
        <v>52</v>
      </c>
      <c r="AV18" s="31">
        <f>AW18+AX18</f>
        <v>0</v>
      </c>
      <c r="AW18" s="31">
        <f>G18*AO18</f>
        <v>0</v>
      </c>
      <c r="AX18" s="31">
        <f>G18*AP18</f>
        <v>0</v>
      </c>
      <c r="AY18" s="32" t="s">
        <v>58</v>
      </c>
      <c r="AZ18" s="32" t="s">
        <v>59</v>
      </c>
      <c r="BA18" s="12" t="s">
        <v>60</v>
      </c>
      <c r="BC18" s="31">
        <f>AW18+AX18</f>
        <v>0</v>
      </c>
      <c r="BD18" s="31">
        <f>H18/(100-BE18)*100</f>
        <v>0</v>
      </c>
      <c r="BE18" s="31">
        <v>0</v>
      </c>
      <c r="BF18" s="31">
        <f>O18</f>
        <v>0</v>
      </c>
      <c r="BH18" s="31">
        <f>G18*AO18</f>
        <v>0</v>
      </c>
      <c r="BI18" s="31">
        <f>G18*AP18</f>
        <v>0</v>
      </c>
      <c r="BJ18" s="31">
        <f>G18*H18</f>
        <v>0</v>
      </c>
      <c r="BK18" s="31"/>
      <c r="BL18" s="31">
        <v>13</v>
      </c>
      <c r="BW18" s="31" t="str">
        <f>I18</f>
        <v>21</v>
      </c>
      <c r="BX18" s="4" t="s">
        <v>72</v>
      </c>
    </row>
    <row r="19" spans="1:76" ht="14.35" x14ac:dyDescent="0.5">
      <c r="A19" s="34"/>
      <c r="D19" s="35" t="s">
        <v>73</v>
      </c>
      <c r="E19" s="35" t="s">
        <v>74</v>
      </c>
      <c r="G19" s="36">
        <v>4.4800000000000004</v>
      </c>
      <c r="P19" s="37"/>
    </row>
    <row r="20" spans="1:76" ht="14.35" x14ac:dyDescent="0.5">
      <c r="A20" s="38" t="s">
        <v>49</v>
      </c>
      <c r="B20" s="39" t="s">
        <v>49</v>
      </c>
      <c r="C20" s="39" t="s">
        <v>75</v>
      </c>
      <c r="D20" s="126" t="s">
        <v>76</v>
      </c>
      <c r="E20" s="127"/>
      <c r="F20" s="40" t="s">
        <v>3</v>
      </c>
      <c r="G20" s="40" t="s">
        <v>3</v>
      </c>
      <c r="H20" s="40" t="s">
        <v>3</v>
      </c>
      <c r="I20" s="40" t="s">
        <v>3</v>
      </c>
      <c r="J20" s="1">
        <f>SUM(J21:J30)</f>
        <v>0</v>
      </c>
      <c r="K20" s="1">
        <f>SUM(K21:K30)</f>
        <v>0</v>
      </c>
      <c r="L20" s="1">
        <f>SUM(L21:L30)</f>
        <v>0</v>
      </c>
      <c r="M20" s="1">
        <f>SUM(M21:M30)</f>
        <v>0</v>
      </c>
      <c r="N20" s="12" t="s">
        <v>49</v>
      </c>
      <c r="O20" s="1">
        <f>SUM(O21:O30)</f>
        <v>0</v>
      </c>
      <c r="P20" s="41" t="s">
        <v>49</v>
      </c>
      <c r="AI20" s="12" t="s">
        <v>49</v>
      </c>
      <c r="AS20" s="1">
        <f>SUM(AJ21:AJ30)</f>
        <v>0</v>
      </c>
      <c r="AT20" s="1">
        <f>SUM(AK21:AK30)</f>
        <v>0</v>
      </c>
      <c r="AU20" s="1">
        <f>SUM(AL21:AL30)</f>
        <v>0</v>
      </c>
    </row>
    <row r="21" spans="1:76" ht="14.35" x14ac:dyDescent="0.5">
      <c r="A21" s="2" t="s">
        <v>77</v>
      </c>
      <c r="B21" s="3" t="s">
        <v>49</v>
      </c>
      <c r="C21" s="3" t="s">
        <v>78</v>
      </c>
      <c r="D21" s="72" t="s">
        <v>79</v>
      </c>
      <c r="E21" s="73"/>
      <c r="F21" s="3" t="s">
        <v>55</v>
      </c>
      <c r="G21" s="31">
        <v>31.46</v>
      </c>
      <c r="H21" s="71"/>
      <c r="I21" s="32" t="s">
        <v>56</v>
      </c>
      <c r="J21" s="31">
        <f>G21*AO21</f>
        <v>0</v>
      </c>
      <c r="K21" s="31">
        <f>G21*AP21</f>
        <v>0</v>
      </c>
      <c r="L21" s="31">
        <f>G21*H21</f>
        <v>0</v>
      </c>
      <c r="M21" s="31">
        <f>L21*(1+BW21/100)</f>
        <v>0</v>
      </c>
      <c r="N21" s="31">
        <v>0</v>
      </c>
      <c r="O21" s="31">
        <f>G21*N21</f>
        <v>0</v>
      </c>
      <c r="P21" s="33" t="s">
        <v>57</v>
      </c>
      <c r="Z21" s="31">
        <f>IF(AQ21="5",BJ21,0)</f>
        <v>0</v>
      </c>
      <c r="AB21" s="31">
        <f>IF(AQ21="1",BH21,0)</f>
        <v>0</v>
      </c>
      <c r="AC21" s="31">
        <f>IF(AQ21="1",BI21,0)</f>
        <v>0</v>
      </c>
      <c r="AD21" s="31">
        <f>IF(AQ21="7",BH21,0)</f>
        <v>0</v>
      </c>
      <c r="AE21" s="31">
        <f>IF(AQ21="7",BI21,0)</f>
        <v>0</v>
      </c>
      <c r="AF21" s="31">
        <f>IF(AQ21="2",BH21,0)</f>
        <v>0</v>
      </c>
      <c r="AG21" s="31">
        <f>IF(AQ21="2",BI21,0)</f>
        <v>0</v>
      </c>
      <c r="AH21" s="31">
        <f>IF(AQ21="0",BJ21,0)</f>
        <v>0</v>
      </c>
      <c r="AI21" s="12" t="s">
        <v>49</v>
      </c>
      <c r="AJ21" s="31">
        <f>IF(AN21=0,L21,0)</f>
        <v>0</v>
      </c>
      <c r="AK21" s="31">
        <f>IF(AN21=12,L21,0)</f>
        <v>0</v>
      </c>
      <c r="AL21" s="31">
        <f>IF(AN21=21,L21,0)</f>
        <v>0</v>
      </c>
      <c r="AN21" s="31">
        <v>21</v>
      </c>
      <c r="AO21" s="31">
        <f>H21*0</f>
        <v>0</v>
      </c>
      <c r="AP21" s="31">
        <f>H21*(1-0)</f>
        <v>0</v>
      </c>
      <c r="AQ21" s="32" t="s">
        <v>52</v>
      </c>
      <c r="AV21" s="31">
        <f>AW21+AX21</f>
        <v>0</v>
      </c>
      <c r="AW21" s="31">
        <f>G21*AO21</f>
        <v>0</v>
      </c>
      <c r="AX21" s="31">
        <f>G21*AP21</f>
        <v>0</v>
      </c>
      <c r="AY21" s="32" t="s">
        <v>80</v>
      </c>
      <c r="AZ21" s="32" t="s">
        <v>59</v>
      </c>
      <c r="BA21" s="12" t="s">
        <v>60</v>
      </c>
      <c r="BC21" s="31">
        <f>AW21+AX21</f>
        <v>0</v>
      </c>
      <c r="BD21" s="31">
        <f>H21/(100-BE21)*100</f>
        <v>0</v>
      </c>
      <c r="BE21" s="31">
        <v>0</v>
      </c>
      <c r="BF21" s="31">
        <f>O21</f>
        <v>0</v>
      </c>
      <c r="BH21" s="31">
        <f>G21*AO21</f>
        <v>0</v>
      </c>
      <c r="BI21" s="31">
        <f>G21*AP21</f>
        <v>0</v>
      </c>
      <c r="BJ21" s="31">
        <f>G21*H21</f>
        <v>0</v>
      </c>
      <c r="BK21" s="31"/>
      <c r="BL21" s="31">
        <v>16</v>
      </c>
      <c r="BW21" s="31" t="str">
        <f>I21</f>
        <v>21</v>
      </c>
      <c r="BX21" s="4" t="s">
        <v>79</v>
      </c>
    </row>
    <row r="22" spans="1:76" ht="14.35" x14ac:dyDescent="0.5">
      <c r="A22" s="2" t="s">
        <v>81</v>
      </c>
      <c r="B22" s="3" t="s">
        <v>49</v>
      </c>
      <c r="C22" s="3" t="s">
        <v>82</v>
      </c>
      <c r="D22" s="72" t="s">
        <v>83</v>
      </c>
      <c r="E22" s="73"/>
      <c r="F22" s="3" t="s">
        <v>55</v>
      </c>
      <c r="G22" s="31">
        <v>4.4800000000000004</v>
      </c>
      <c r="H22" s="71"/>
      <c r="I22" s="32" t="s">
        <v>56</v>
      </c>
      <c r="J22" s="31">
        <f>G22*AO22</f>
        <v>0</v>
      </c>
      <c r="K22" s="31">
        <f>G22*AP22</f>
        <v>0</v>
      </c>
      <c r="L22" s="31">
        <f>G22*H22</f>
        <v>0</v>
      </c>
      <c r="M22" s="31">
        <f>L22*(1+BW22/100)</f>
        <v>0</v>
      </c>
      <c r="N22" s="31">
        <v>0</v>
      </c>
      <c r="O22" s="31">
        <f>G22*N22</f>
        <v>0</v>
      </c>
      <c r="P22" s="33" t="s">
        <v>57</v>
      </c>
      <c r="Z22" s="31">
        <f>IF(AQ22="5",BJ22,0)</f>
        <v>0</v>
      </c>
      <c r="AB22" s="31">
        <f>IF(AQ22="1",BH22,0)</f>
        <v>0</v>
      </c>
      <c r="AC22" s="31">
        <f>IF(AQ22="1",BI22,0)</f>
        <v>0</v>
      </c>
      <c r="AD22" s="31">
        <f>IF(AQ22="7",BH22,0)</f>
        <v>0</v>
      </c>
      <c r="AE22" s="31">
        <f>IF(AQ22="7",BI22,0)</f>
        <v>0</v>
      </c>
      <c r="AF22" s="31">
        <f>IF(AQ22="2",BH22,0)</f>
        <v>0</v>
      </c>
      <c r="AG22" s="31">
        <f>IF(AQ22="2",BI22,0)</f>
        <v>0</v>
      </c>
      <c r="AH22" s="31">
        <f>IF(AQ22="0",BJ22,0)</f>
        <v>0</v>
      </c>
      <c r="AI22" s="12" t="s">
        <v>49</v>
      </c>
      <c r="AJ22" s="31">
        <f>IF(AN22=0,L22,0)</f>
        <v>0</v>
      </c>
      <c r="AK22" s="31">
        <f>IF(AN22=12,L22,0)</f>
        <v>0</v>
      </c>
      <c r="AL22" s="31">
        <f>IF(AN22=21,L22,0)</f>
        <v>0</v>
      </c>
      <c r="AN22" s="31">
        <v>21</v>
      </c>
      <c r="AO22" s="31">
        <f>H22*0</f>
        <v>0</v>
      </c>
      <c r="AP22" s="31">
        <f>H22*(1-0)</f>
        <v>0</v>
      </c>
      <c r="AQ22" s="32" t="s">
        <v>52</v>
      </c>
      <c r="AV22" s="31">
        <f>AW22+AX22</f>
        <v>0</v>
      </c>
      <c r="AW22" s="31">
        <f>G22*AO22</f>
        <v>0</v>
      </c>
      <c r="AX22" s="31">
        <f>G22*AP22</f>
        <v>0</v>
      </c>
      <c r="AY22" s="32" t="s">
        <v>80</v>
      </c>
      <c r="AZ22" s="32" t="s">
        <v>59</v>
      </c>
      <c r="BA22" s="12" t="s">
        <v>60</v>
      </c>
      <c r="BC22" s="31">
        <f>AW22+AX22</f>
        <v>0</v>
      </c>
      <c r="BD22" s="31">
        <f>H22/(100-BE22)*100</f>
        <v>0</v>
      </c>
      <c r="BE22" s="31">
        <v>0</v>
      </c>
      <c r="BF22" s="31">
        <f>O22</f>
        <v>0</v>
      </c>
      <c r="BH22" s="31">
        <f>G22*AO22</f>
        <v>0</v>
      </c>
      <c r="BI22" s="31">
        <f>G22*AP22</f>
        <v>0</v>
      </c>
      <c r="BJ22" s="31">
        <f>G22*H22</f>
        <v>0</v>
      </c>
      <c r="BK22" s="31"/>
      <c r="BL22" s="31">
        <v>16</v>
      </c>
      <c r="BW22" s="31" t="str">
        <f>I22</f>
        <v>21</v>
      </c>
      <c r="BX22" s="4" t="s">
        <v>83</v>
      </c>
    </row>
    <row r="23" spans="1:76" ht="14.35" x14ac:dyDescent="0.5">
      <c r="A23" s="2" t="s">
        <v>84</v>
      </c>
      <c r="B23" s="3" t="s">
        <v>49</v>
      </c>
      <c r="C23" s="3" t="s">
        <v>85</v>
      </c>
      <c r="D23" s="72" t="s">
        <v>86</v>
      </c>
      <c r="E23" s="73"/>
      <c r="F23" s="3" t="s">
        <v>55</v>
      </c>
      <c r="G23" s="31">
        <v>65.33</v>
      </c>
      <c r="H23" s="71"/>
      <c r="I23" s="32" t="s">
        <v>56</v>
      </c>
      <c r="J23" s="31">
        <f>G23*AO23</f>
        <v>0</v>
      </c>
      <c r="K23" s="31">
        <f>G23*AP23</f>
        <v>0</v>
      </c>
      <c r="L23" s="31">
        <f>G23*H23</f>
        <v>0</v>
      </c>
      <c r="M23" s="31">
        <f>L23*(1+BW23/100)</f>
        <v>0</v>
      </c>
      <c r="N23" s="31">
        <v>0</v>
      </c>
      <c r="O23" s="31">
        <f>G23*N23</f>
        <v>0</v>
      </c>
      <c r="P23" s="33" t="s">
        <v>57</v>
      </c>
      <c r="Z23" s="31">
        <f>IF(AQ23="5",BJ23,0)</f>
        <v>0</v>
      </c>
      <c r="AB23" s="31">
        <f>IF(AQ23="1",BH23,0)</f>
        <v>0</v>
      </c>
      <c r="AC23" s="31">
        <f>IF(AQ23="1",BI23,0)</f>
        <v>0</v>
      </c>
      <c r="AD23" s="31">
        <f>IF(AQ23="7",BH23,0)</f>
        <v>0</v>
      </c>
      <c r="AE23" s="31">
        <f>IF(AQ23="7",BI23,0)</f>
        <v>0</v>
      </c>
      <c r="AF23" s="31">
        <f>IF(AQ23="2",BH23,0)</f>
        <v>0</v>
      </c>
      <c r="AG23" s="31">
        <f>IF(AQ23="2",BI23,0)</f>
        <v>0</v>
      </c>
      <c r="AH23" s="31">
        <f>IF(AQ23="0",BJ23,0)</f>
        <v>0</v>
      </c>
      <c r="AI23" s="12" t="s">
        <v>49</v>
      </c>
      <c r="AJ23" s="31">
        <f>IF(AN23=0,L23,0)</f>
        <v>0</v>
      </c>
      <c r="AK23" s="31">
        <f>IF(AN23=12,L23,0)</f>
        <v>0</v>
      </c>
      <c r="AL23" s="31">
        <f>IF(AN23=21,L23,0)</f>
        <v>0</v>
      </c>
      <c r="AN23" s="31">
        <v>21</v>
      </c>
      <c r="AO23" s="31">
        <f>H23*0</f>
        <v>0</v>
      </c>
      <c r="AP23" s="31">
        <f>H23*(1-0)</f>
        <v>0</v>
      </c>
      <c r="AQ23" s="32" t="s">
        <v>52</v>
      </c>
      <c r="AV23" s="31">
        <f>AW23+AX23</f>
        <v>0</v>
      </c>
      <c r="AW23" s="31">
        <f>G23*AO23</f>
        <v>0</v>
      </c>
      <c r="AX23" s="31">
        <f>G23*AP23</f>
        <v>0</v>
      </c>
      <c r="AY23" s="32" t="s">
        <v>80</v>
      </c>
      <c r="AZ23" s="32" t="s">
        <v>59</v>
      </c>
      <c r="BA23" s="12" t="s">
        <v>60</v>
      </c>
      <c r="BC23" s="31">
        <f>AW23+AX23</f>
        <v>0</v>
      </c>
      <c r="BD23" s="31">
        <f>H23/(100-BE23)*100</f>
        <v>0</v>
      </c>
      <c r="BE23" s="31">
        <v>0</v>
      </c>
      <c r="BF23" s="31">
        <f>O23</f>
        <v>0</v>
      </c>
      <c r="BH23" s="31">
        <f>G23*AO23</f>
        <v>0</v>
      </c>
      <c r="BI23" s="31">
        <f>G23*AP23</f>
        <v>0</v>
      </c>
      <c r="BJ23" s="31">
        <f>G23*H23</f>
        <v>0</v>
      </c>
      <c r="BK23" s="31"/>
      <c r="BL23" s="31">
        <v>16</v>
      </c>
      <c r="BW23" s="31" t="str">
        <f>I23</f>
        <v>21</v>
      </c>
      <c r="BX23" s="4" t="s">
        <v>86</v>
      </c>
    </row>
    <row r="24" spans="1:76" ht="14.35" x14ac:dyDescent="0.5">
      <c r="A24" s="34"/>
      <c r="D24" s="35" t="s">
        <v>87</v>
      </c>
      <c r="E24" s="35" t="s">
        <v>88</v>
      </c>
      <c r="G24" s="36">
        <v>35.94</v>
      </c>
      <c r="P24" s="37"/>
    </row>
    <row r="25" spans="1:76" ht="14.35" x14ac:dyDescent="0.5">
      <c r="A25" s="34"/>
      <c r="D25" s="35" t="s">
        <v>89</v>
      </c>
      <c r="E25" s="35" t="s">
        <v>90</v>
      </c>
      <c r="G25" s="36">
        <v>29.39</v>
      </c>
      <c r="P25" s="37"/>
    </row>
    <row r="26" spans="1:76" ht="14.35" x14ac:dyDescent="0.5">
      <c r="A26" s="2" t="s">
        <v>91</v>
      </c>
      <c r="B26" s="3" t="s">
        <v>49</v>
      </c>
      <c r="C26" s="3" t="s">
        <v>92</v>
      </c>
      <c r="D26" s="72" t="s">
        <v>93</v>
      </c>
      <c r="E26" s="73"/>
      <c r="F26" s="3" t="s">
        <v>55</v>
      </c>
      <c r="G26" s="31">
        <v>130.66</v>
      </c>
      <c r="H26" s="71"/>
      <c r="I26" s="32" t="s">
        <v>56</v>
      </c>
      <c r="J26" s="31">
        <f>G26*AO26</f>
        <v>0</v>
      </c>
      <c r="K26" s="31">
        <f>G26*AP26</f>
        <v>0</v>
      </c>
      <c r="L26" s="31">
        <f>G26*H26</f>
        <v>0</v>
      </c>
      <c r="M26" s="31">
        <f>L26*(1+BW26/100)</f>
        <v>0</v>
      </c>
      <c r="N26" s="31">
        <v>0</v>
      </c>
      <c r="O26" s="31">
        <f>G26*N26</f>
        <v>0</v>
      </c>
      <c r="P26" s="33" t="s">
        <v>57</v>
      </c>
      <c r="Z26" s="31">
        <f>IF(AQ26="5",BJ26,0)</f>
        <v>0</v>
      </c>
      <c r="AB26" s="31">
        <f>IF(AQ26="1",BH26,0)</f>
        <v>0</v>
      </c>
      <c r="AC26" s="31">
        <f>IF(AQ26="1",BI26,0)</f>
        <v>0</v>
      </c>
      <c r="AD26" s="31">
        <f>IF(AQ26="7",BH26,0)</f>
        <v>0</v>
      </c>
      <c r="AE26" s="31">
        <f>IF(AQ26="7",BI26,0)</f>
        <v>0</v>
      </c>
      <c r="AF26" s="31">
        <f>IF(AQ26="2",BH26,0)</f>
        <v>0</v>
      </c>
      <c r="AG26" s="31">
        <f>IF(AQ26="2",BI26,0)</f>
        <v>0</v>
      </c>
      <c r="AH26" s="31">
        <f>IF(AQ26="0",BJ26,0)</f>
        <v>0</v>
      </c>
      <c r="AI26" s="12" t="s">
        <v>49</v>
      </c>
      <c r="AJ26" s="31">
        <f>IF(AN26=0,L26,0)</f>
        <v>0</v>
      </c>
      <c r="AK26" s="31">
        <f>IF(AN26=12,L26,0)</f>
        <v>0</v>
      </c>
      <c r="AL26" s="31">
        <f>IF(AN26=21,L26,0)</f>
        <v>0</v>
      </c>
      <c r="AN26" s="31">
        <v>21</v>
      </c>
      <c r="AO26" s="31">
        <f>H26*0</f>
        <v>0</v>
      </c>
      <c r="AP26" s="31">
        <f>H26*(1-0)</f>
        <v>0</v>
      </c>
      <c r="AQ26" s="32" t="s">
        <v>52</v>
      </c>
      <c r="AV26" s="31">
        <f>AW26+AX26</f>
        <v>0</v>
      </c>
      <c r="AW26" s="31">
        <f>G26*AO26</f>
        <v>0</v>
      </c>
      <c r="AX26" s="31">
        <f>G26*AP26</f>
        <v>0</v>
      </c>
      <c r="AY26" s="32" t="s">
        <v>80</v>
      </c>
      <c r="AZ26" s="32" t="s">
        <v>59</v>
      </c>
      <c r="BA26" s="12" t="s">
        <v>60</v>
      </c>
      <c r="BC26" s="31">
        <f>AW26+AX26</f>
        <v>0</v>
      </c>
      <c r="BD26" s="31">
        <f>H26/(100-BE26)*100</f>
        <v>0</v>
      </c>
      <c r="BE26" s="31">
        <v>0</v>
      </c>
      <c r="BF26" s="31">
        <f>O26</f>
        <v>0</v>
      </c>
      <c r="BH26" s="31">
        <f>G26*AO26</f>
        <v>0</v>
      </c>
      <c r="BI26" s="31">
        <f>G26*AP26</f>
        <v>0</v>
      </c>
      <c r="BJ26" s="31">
        <f>G26*H26</f>
        <v>0</v>
      </c>
      <c r="BK26" s="31"/>
      <c r="BL26" s="31">
        <v>16</v>
      </c>
      <c r="BW26" s="31" t="str">
        <f>I26</f>
        <v>21</v>
      </c>
      <c r="BX26" s="4" t="s">
        <v>93</v>
      </c>
    </row>
    <row r="27" spans="1:76" ht="14.35" x14ac:dyDescent="0.5">
      <c r="A27" s="34"/>
      <c r="D27" s="35" t="s">
        <v>94</v>
      </c>
      <c r="E27" s="35" t="s">
        <v>49</v>
      </c>
      <c r="G27" s="36">
        <v>130.66</v>
      </c>
      <c r="P27" s="37"/>
    </row>
    <row r="28" spans="1:76" ht="14.35" x14ac:dyDescent="0.5">
      <c r="A28" s="2" t="s">
        <v>95</v>
      </c>
      <c r="B28" s="3" t="s">
        <v>49</v>
      </c>
      <c r="C28" s="3" t="s">
        <v>96</v>
      </c>
      <c r="D28" s="72" t="s">
        <v>97</v>
      </c>
      <c r="E28" s="73"/>
      <c r="F28" s="3" t="s">
        <v>55</v>
      </c>
      <c r="G28" s="31">
        <v>6.55</v>
      </c>
      <c r="H28" s="71"/>
      <c r="I28" s="32" t="s">
        <v>56</v>
      </c>
      <c r="J28" s="31">
        <f>G28*AO28</f>
        <v>0</v>
      </c>
      <c r="K28" s="31">
        <f>G28*AP28</f>
        <v>0</v>
      </c>
      <c r="L28" s="31">
        <f>G28*H28</f>
        <v>0</v>
      </c>
      <c r="M28" s="31">
        <f>L28*(1+BW28/100)</f>
        <v>0</v>
      </c>
      <c r="N28" s="31">
        <v>0</v>
      </c>
      <c r="O28" s="31">
        <f>G28*N28</f>
        <v>0</v>
      </c>
      <c r="P28" s="33" t="s">
        <v>57</v>
      </c>
      <c r="Z28" s="31">
        <f>IF(AQ28="5",BJ28,0)</f>
        <v>0</v>
      </c>
      <c r="AB28" s="31">
        <f>IF(AQ28="1",BH28,0)</f>
        <v>0</v>
      </c>
      <c r="AC28" s="31">
        <f>IF(AQ28="1",BI28,0)</f>
        <v>0</v>
      </c>
      <c r="AD28" s="31">
        <f>IF(AQ28="7",BH28,0)</f>
        <v>0</v>
      </c>
      <c r="AE28" s="31">
        <f>IF(AQ28="7",BI28,0)</f>
        <v>0</v>
      </c>
      <c r="AF28" s="31">
        <f>IF(AQ28="2",BH28,0)</f>
        <v>0</v>
      </c>
      <c r="AG28" s="31">
        <f>IF(AQ28="2",BI28,0)</f>
        <v>0</v>
      </c>
      <c r="AH28" s="31">
        <f>IF(AQ28="0",BJ28,0)</f>
        <v>0</v>
      </c>
      <c r="AI28" s="12" t="s">
        <v>49</v>
      </c>
      <c r="AJ28" s="31">
        <f>IF(AN28=0,L28,0)</f>
        <v>0</v>
      </c>
      <c r="AK28" s="31">
        <f>IF(AN28=12,L28,0)</f>
        <v>0</v>
      </c>
      <c r="AL28" s="31">
        <f>IF(AN28=21,L28,0)</f>
        <v>0</v>
      </c>
      <c r="AN28" s="31">
        <v>21</v>
      </c>
      <c r="AO28" s="31">
        <f>H28*0</f>
        <v>0</v>
      </c>
      <c r="AP28" s="31">
        <f>H28*(1-0)</f>
        <v>0</v>
      </c>
      <c r="AQ28" s="32" t="s">
        <v>52</v>
      </c>
      <c r="AV28" s="31">
        <f>AW28+AX28</f>
        <v>0</v>
      </c>
      <c r="AW28" s="31">
        <f>G28*AO28</f>
        <v>0</v>
      </c>
      <c r="AX28" s="31">
        <f>G28*AP28</f>
        <v>0</v>
      </c>
      <c r="AY28" s="32" t="s">
        <v>80</v>
      </c>
      <c r="AZ28" s="32" t="s">
        <v>59</v>
      </c>
      <c r="BA28" s="12" t="s">
        <v>60</v>
      </c>
      <c r="BC28" s="31">
        <f>AW28+AX28</f>
        <v>0</v>
      </c>
      <c r="BD28" s="31">
        <f>H28/(100-BE28)*100</f>
        <v>0</v>
      </c>
      <c r="BE28" s="31">
        <v>0</v>
      </c>
      <c r="BF28" s="31">
        <f>O28</f>
        <v>0</v>
      </c>
      <c r="BH28" s="31">
        <f>G28*AO28</f>
        <v>0</v>
      </c>
      <c r="BI28" s="31">
        <f>G28*AP28</f>
        <v>0</v>
      </c>
      <c r="BJ28" s="31">
        <f>G28*H28</f>
        <v>0</v>
      </c>
      <c r="BK28" s="31"/>
      <c r="BL28" s="31">
        <v>16</v>
      </c>
      <c r="BW28" s="31" t="str">
        <f>I28</f>
        <v>21</v>
      </c>
      <c r="BX28" s="4" t="s">
        <v>97</v>
      </c>
    </row>
    <row r="29" spans="1:76" ht="14.35" x14ac:dyDescent="0.5">
      <c r="A29" s="34"/>
      <c r="D29" s="35" t="s">
        <v>98</v>
      </c>
      <c r="E29" s="35" t="s">
        <v>99</v>
      </c>
      <c r="G29" s="36">
        <v>6.55</v>
      </c>
      <c r="P29" s="37"/>
    </row>
    <row r="30" spans="1:76" ht="14.35" x14ac:dyDescent="0.5">
      <c r="A30" s="2" t="s">
        <v>100</v>
      </c>
      <c r="B30" s="3" t="s">
        <v>49</v>
      </c>
      <c r="C30" s="3" t="s">
        <v>101</v>
      </c>
      <c r="D30" s="72" t="s">
        <v>102</v>
      </c>
      <c r="E30" s="73"/>
      <c r="F30" s="3" t="s">
        <v>55</v>
      </c>
      <c r="G30" s="31">
        <v>35.94</v>
      </c>
      <c r="H30" s="71"/>
      <c r="I30" s="32" t="s">
        <v>56</v>
      </c>
      <c r="J30" s="31">
        <f>G30*AO30</f>
        <v>0</v>
      </c>
      <c r="K30" s="31">
        <f>G30*AP30</f>
        <v>0</v>
      </c>
      <c r="L30" s="31">
        <f>G30*H30</f>
        <v>0</v>
      </c>
      <c r="M30" s="31">
        <f>L30*(1+BW30/100)</f>
        <v>0</v>
      </c>
      <c r="N30" s="31">
        <v>0</v>
      </c>
      <c r="O30" s="31">
        <f>G30*N30</f>
        <v>0</v>
      </c>
      <c r="P30" s="33" t="s">
        <v>57</v>
      </c>
      <c r="Z30" s="31">
        <f>IF(AQ30="5",BJ30,0)</f>
        <v>0</v>
      </c>
      <c r="AB30" s="31">
        <f>IF(AQ30="1",BH30,0)</f>
        <v>0</v>
      </c>
      <c r="AC30" s="31">
        <f>IF(AQ30="1",BI30,0)</f>
        <v>0</v>
      </c>
      <c r="AD30" s="31">
        <f>IF(AQ30="7",BH30,0)</f>
        <v>0</v>
      </c>
      <c r="AE30" s="31">
        <f>IF(AQ30="7",BI30,0)</f>
        <v>0</v>
      </c>
      <c r="AF30" s="31">
        <f>IF(AQ30="2",BH30,0)</f>
        <v>0</v>
      </c>
      <c r="AG30" s="31">
        <f>IF(AQ30="2",BI30,0)</f>
        <v>0</v>
      </c>
      <c r="AH30" s="31">
        <f>IF(AQ30="0",BJ30,0)</f>
        <v>0</v>
      </c>
      <c r="AI30" s="12" t="s">
        <v>49</v>
      </c>
      <c r="AJ30" s="31">
        <f>IF(AN30=0,L30,0)</f>
        <v>0</v>
      </c>
      <c r="AK30" s="31">
        <f>IF(AN30=12,L30,0)</f>
        <v>0</v>
      </c>
      <c r="AL30" s="31">
        <f>IF(AN30=21,L30,0)</f>
        <v>0</v>
      </c>
      <c r="AN30" s="31">
        <v>21</v>
      </c>
      <c r="AO30" s="31">
        <f>H30*0</f>
        <v>0</v>
      </c>
      <c r="AP30" s="31">
        <f>H30*(1-0)</f>
        <v>0</v>
      </c>
      <c r="AQ30" s="32" t="s">
        <v>52</v>
      </c>
      <c r="AV30" s="31">
        <f>AW30+AX30</f>
        <v>0</v>
      </c>
      <c r="AW30" s="31">
        <f>G30*AO30</f>
        <v>0</v>
      </c>
      <c r="AX30" s="31">
        <f>G30*AP30</f>
        <v>0</v>
      </c>
      <c r="AY30" s="32" t="s">
        <v>80</v>
      </c>
      <c r="AZ30" s="32" t="s">
        <v>59</v>
      </c>
      <c r="BA30" s="12" t="s">
        <v>60</v>
      </c>
      <c r="BC30" s="31">
        <f>AW30+AX30</f>
        <v>0</v>
      </c>
      <c r="BD30" s="31">
        <f>H30/(100-BE30)*100</f>
        <v>0</v>
      </c>
      <c r="BE30" s="31">
        <v>0</v>
      </c>
      <c r="BF30" s="31">
        <f>O30</f>
        <v>0</v>
      </c>
      <c r="BH30" s="31">
        <f>G30*AO30</f>
        <v>0</v>
      </c>
      <c r="BI30" s="31">
        <f>G30*AP30</f>
        <v>0</v>
      </c>
      <c r="BJ30" s="31">
        <f>G30*H30</f>
        <v>0</v>
      </c>
      <c r="BK30" s="31"/>
      <c r="BL30" s="31">
        <v>16</v>
      </c>
      <c r="BW30" s="31" t="str">
        <f>I30</f>
        <v>21</v>
      </c>
      <c r="BX30" s="4" t="s">
        <v>102</v>
      </c>
    </row>
    <row r="31" spans="1:76" ht="14.35" x14ac:dyDescent="0.5">
      <c r="A31" s="34"/>
      <c r="D31" s="35" t="s">
        <v>87</v>
      </c>
      <c r="E31" s="35" t="s">
        <v>88</v>
      </c>
      <c r="G31" s="36">
        <v>35.94</v>
      </c>
      <c r="P31" s="37"/>
    </row>
    <row r="32" spans="1:76" ht="14.35" x14ac:dyDescent="0.5">
      <c r="A32" s="38" t="s">
        <v>49</v>
      </c>
      <c r="B32" s="39" t="s">
        <v>49</v>
      </c>
      <c r="C32" s="39" t="s">
        <v>103</v>
      </c>
      <c r="D32" s="126" t="s">
        <v>104</v>
      </c>
      <c r="E32" s="127"/>
      <c r="F32" s="40" t="s">
        <v>3</v>
      </c>
      <c r="G32" s="40" t="s">
        <v>3</v>
      </c>
      <c r="H32" s="40" t="s">
        <v>3</v>
      </c>
      <c r="I32" s="40" t="s">
        <v>3</v>
      </c>
      <c r="J32" s="1">
        <f>SUM(J33:J35)</f>
        <v>0</v>
      </c>
      <c r="K32" s="1">
        <f>SUM(K33:K35)</f>
        <v>0</v>
      </c>
      <c r="L32" s="1">
        <f>SUM(L33:L35)</f>
        <v>0</v>
      </c>
      <c r="M32" s="1">
        <f>SUM(M33:M35)</f>
        <v>0</v>
      </c>
      <c r="N32" s="12" t="s">
        <v>49</v>
      </c>
      <c r="O32" s="1">
        <f>SUM(O33:O35)</f>
        <v>0</v>
      </c>
      <c r="P32" s="41" t="s">
        <v>49</v>
      </c>
      <c r="AI32" s="12" t="s">
        <v>49</v>
      </c>
      <c r="AS32" s="1">
        <f>SUM(AJ33:AJ35)</f>
        <v>0</v>
      </c>
      <c r="AT32" s="1">
        <f>SUM(AK33:AK35)</f>
        <v>0</v>
      </c>
      <c r="AU32" s="1">
        <f>SUM(AL33:AL35)</f>
        <v>0</v>
      </c>
    </row>
    <row r="33" spans="1:76" ht="14.35" x14ac:dyDescent="0.5">
      <c r="A33" s="2" t="s">
        <v>105</v>
      </c>
      <c r="B33" s="3" t="s">
        <v>49</v>
      </c>
      <c r="C33" s="3" t="s">
        <v>106</v>
      </c>
      <c r="D33" s="72" t="s">
        <v>107</v>
      </c>
      <c r="E33" s="73"/>
      <c r="F33" s="3" t="s">
        <v>55</v>
      </c>
      <c r="G33" s="31">
        <v>4.83</v>
      </c>
      <c r="H33" s="71"/>
      <c r="I33" s="32" t="s">
        <v>56</v>
      </c>
      <c r="J33" s="31">
        <f>G33*AO33</f>
        <v>0</v>
      </c>
      <c r="K33" s="31">
        <f>G33*AP33</f>
        <v>0</v>
      </c>
      <c r="L33" s="31">
        <f>G33*H33</f>
        <v>0</v>
      </c>
      <c r="M33" s="31">
        <f>L33*(1+BW33/100)</f>
        <v>0</v>
      </c>
      <c r="N33" s="31">
        <v>0</v>
      </c>
      <c r="O33" s="31">
        <f>G33*N33</f>
        <v>0</v>
      </c>
      <c r="P33" s="33" t="s">
        <v>57</v>
      </c>
      <c r="Z33" s="31">
        <f>IF(AQ33="5",BJ33,0)</f>
        <v>0</v>
      </c>
      <c r="AB33" s="31">
        <f>IF(AQ33="1",BH33,0)</f>
        <v>0</v>
      </c>
      <c r="AC33" s="31">
        <f>IF(AQ33="1",BI33,0)</f>
        <v>0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12" t="s">
        <v>49</v>
      </c>
      <c r="AJ33" s="31">
        <f>IF(AN33=0,L33,0)</f>
        <v>0</v>
      </c>
      <c r="AK33" s="31">
        <f>IF(AN33=12,L33,0)</f>
        <v>0</v>
      </c>
      <c r="AL33" s="31">
        <f>IF(AN33=21,L33,0)</f>
        <v>0</v>
      </c>
      <c r="AN33" s="31">
        <v>21</v>
      </c>
      <c r="AO33" s="31">
        <f>H33*0.001129944</f>
        <v>0</v>
      </c>
      <c r="AP33" s="31">
        <f>H33*(1-0.001129944)</f>
        <v>0</v>
      </c>
      <c r="AQ33" s="32" t="s">
        <v>52</v>
      </c>
      <c r="AV33" s="31">
        <f>AW33+AX33</f>
        <v>0</v>
      </c>
      <c r="AW33" s="31">
        <f>G33*AO33</f>
        <v>0</v>
      </c>
      <c r="AX33" s="31">
        <f>G33*AP33</f>
        <v>0</v>
      </c>
      <c r="AY33" s="32" t="s">
        <v>108</v>
      </c>
      <c r="AZ33" s="32" t="s">
        <v>59</v>
      </c>
      <c r="BA33" s="12" t="s">
        <v>60</v>
      </c>
      <c r="BC33" s="31">
        <f>AW33+AX33</f>
        <v>0</v>
      </c>
      <c r="BD33" s="31">
        <f>H33/(100-BE33)*100</f>
        <v>0</v>
      </c>
      <c r="BE33" s="31">
        <v>0</v>
      </c>
      <c r="BF33" s="31">
        <f>O33</f>
        <v>0</v>
      </c>
      <c r="BH33" s="31">
        <f>G33*AO33</f>
        <v>0</v>
      </c>
      <c r="BI33" s="31">
        <f>G33*AP33</f>
        <v>0</v>
      </c>
      <c r="BJ33" s="31">
        <f>G33*H33</f>
        <v>0</v>
      </c>
      <c r="BK33" s="31"/>
      <c r="BL33" s="31">
        <v>17</v>
      </c>
      <c r="BW33" s="31" t="str">
        <f>I33</f>
        <v>21</v>
      </c>
      <c r="BX33" s="4" t="s">
        <v>107</v>
      </c>
    </row>
    <row r="34" spans="1:76" ht="14.35" x14ac:dyDescent="0.5">
      <c r="A34" s="34"/>
      <c r="D34" s="35" t="s">
        <v>109</v>
      </c>
      <c r="E34" s="35" t="s">
        <v>110</v>
      </c>
      <c r="G34" s="36">
        <v>4.83</v>
      </c>
      <c r="P34" s="37"/>
    </row>
    <row r="35" spans="1:76" ht="14.35" x14ac:dyDescent="0.5">
      <c r="A35" s="2" t="s">
        <v>111</v>
      </c>
      <c r="B35" s="3" t="s">
        <v>49</v>
      </c>
      <c r="C35" s="3" t="s">
        <v>112</v>
      </c>
      <c r="D35" s="72" t="s">
        <v>113</v>
      </c>
      <c r="E35" s="73"/>
      <c r="F35" s="3" t="s">
        <v>55</v>
      </c>
      <c r="G35" s="31">
        <v>24.56</v>
      </c>
      <c r="H35" s="71"/>
      <c r="I35" s="32" t="s">
        <v>56</v>
      </c>
      <c r="J35" s="31">
        <f>G35*AO35</f>
        <v>0</v>
      </c>
      <c r="K35" s="31">
        <f>G35*AP35</f>
        <v>0</v>
      </c>
      <c r="L35" s="31">
        <f>G35*H35</f>
        <v>0</v>
      </c>
      <c r="M35" s="31">
        <f>L35*(1+BW35/100)</f>
        <v>0</v>
      </c>
      <c r="N35" s="31">
        <v>0</v>
      </c>
      <c r="O35" s="31">
        <f>G35*N35</f>
        <v>0</v>
      </c>
      <c r="P35" s="33" t="s">
        <v>57</v>
      </c>
      <c r="Z35" s="31">
        <f>IF(AQ35="5",BJ35,0)</f>
        <v>0</v>
      </c>
      <c r="AB35" s="31">
        <f>IF(AQ35="1",BH35,0)</f>
        <v>0</v>
      </c>
      <c r="AC35" s="31">
        <f>IF(AQ35="1",BI35,0)</f>
        <v>0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12" t="s">
        <v>49</v>
      </c>
      <c r="AJ35" s="31">
        <f>IF(AN35=0,L35,0)</f>
        <v>0</v>
      </c>
      <c r="AK35" s="31">
        <f>IF(AN35=12,L35,0)</f>
        <v>0</v>
      </c>
      <c r="AL35" s="31">
        <f>IF(AN35=21,L35,0)</f>
        <v>0</v>
      </c>
      <c r="AN35" s="31">
        <v>21</v>
      </c>
      <c r="AO35" s="31">
        <f>H35*0</f>
        <v>0</v>
      </c>
      <c r="AP35" s="31">
        <f>H35*(1-0)</f>
        <v>0</v>
      </c>
      <c r="AQ35" s="32" t="s">
        <v>52</v>
      </c>
      <c r="AV35" s="31">
        <f>AW35+AX35</f>
        <v>0</v>
      </c>
      <c r="AW35" s="31">
        <f>G35*AO35</f>
        <v>0</v>
      </c>
      <c r="AX35" s="31">
        <f>G35*AP35</f>
        <v>0</v>
      </c>
      <c r="AY35" s="32" t="s">
        <v>108</v>
      </c>
      <c r="AZ35" s="32" t="s">
        <v>59</v>
      </c>
      <c r="BA35" s="12" t="s">
        <v>60</v>
      </c>
      <c r="BC35" s="31">
        <f>AW35+AX35</f>
        <v>0</v>
      </c>
      <c r="BD35" s="31">
        <f>H35/(100-BE35)*100</f>
        <v>0</v>
      </c>
      <c r="BE35" s="31">
        <v>0</v>
      </c>
      <c r="BF35" s="31">
        <f>O35</f>
        <v>0</v>
      </c>
      <c r="BH35" s="31">
        <f>G35*AO35</f>
        <v>0</v>
      </c>
      <c r="BI35" s="31">
        <f>G35*AP35</f>
        <v>0</v>
      </c>
      <c r="BJ35" s="31">
        <f>G35*H35</f>
        <v>0</v>
      </c>
      <c r="BK35" s="31"/>
      <c r="BL35" s="31">
        <v>17</v>
      </c>
      <c r="BW35" s="31" t="str">
        <f>I35</f>
        <v>21</v>
      </c>
      <c r="BX35" s="4" t="s">
        <v>113</v>
      </c>
    </row>
    <row r="36" spans="1:76" ht="14.35" x14ac:dyDescent="0.5">
      <c r="A36" s="34"/>
      <c r="D36" s="35" t="s">
        <v>114</v>
      </c>
      <c r="E36" s="35" t="s">
        <v>115</v>
      </c>
      <c r="G36" s="36">
        <v>31.46</v>
      </c>
      <c r="P36" s="37"/>
    </row>
    <row r="37" spans="1:76" ht="14.35" x14ac:dyDescent="0.5">
      <c r="A37" s="34"/>
      <c r="D37" s="35" t="s">
        <v>116</v>
      </c>
      <c r="E37" s="35" t="s">
        <v>117</v>
      </c>
      <c r="G37" s="36">
        <v>-4.83</v>
      </c>
      <c r="P37" s="37"/>
    </row>
    <row r="38" spans="1:76" ht="14.35" x14ac:dyDescent="0.5">
      <c r="A38" s="34"/>
      <c r="D38" s="35" t="s">
        <v>118</v>
      </c>
      <c r="E38" s="35" t="s">
        <v>119</v>
      </c>
      <c r="G38" s="36">
        <v>-2.0699999999999998</v>
      </c>
      <c r="P38" s="37"/>
    </row>
    <row r="39" spans="1:76" ht="14.35" x14ac:dyDescent="0.5">
      <c r="A39" s="38" t="s">
        <v>49</v>
      </c>
      <c r="B39" s="39" t="s">
        <v>49</v>
      </c>
      <c r="C39" s="39" t="s">
        <v>120</v>
      </c>
      <c r="D39" s="126" t="s">
        <v>121</v>
      </c>
      <c r="E39" s="127"/>
      <c r="F39" s="40" t="s">
        <v>3</v>
      </c>
      <c r="G39" s="40" t="s">
        <v>3</v>
      </c>
      <c r="H39" s="40" t="s">
        <v>3</v>
      </c>
      <c r="I39" s="40" t="s">
        <v>3</v>
      </c>
      <c r="J39" s="1">
        <f>SUM(J40:J43)</f>
        <v>0</v>
      </c>
      <c r="K39" s="1">
        <f>SUM(K40:K43)</f>
        <v>0</v>
      </c>
      <c r="L39" s="1">
        <f>SUM(L40:L43)</f>
        <v>0</v>
      </c>
      <c r="M39" s="1">
        <f>SUM(M40:M43)</f>
        <v>0</v>
      </c>
      <c r="N39" s="12" t="s">
        <v>49</v>
      </c>
      <c r="O39" s="1">
        <f>SUM(O40:O43)</f>
        <v>1E-3</v>
      </c>
      <c r="P39" s="41" t="s">
        <v>49</v>
      </c>
      <c r="AI39" s="12" t="s">
        <v>49</v>
      </c>
      <c r="AS39" s="1">
        <f>SUM(AJ40:AJ43)</f>
        <v>0</v>
      </c>
      <c r="AT39" s="1">
        <f>SUM(AK40:AK43)</f>
        <v>0</v>
      </c>
      <c r="AU39" s="1">
        <f>SUM(AL40:AL43)</f>
        <v>0</v>
      </c>
    </row>
    <row r="40" spans="1:76" ht="14.35" x14ac:dyDescent="0.5">
      <c r="A40" s="2" t="s">
        <v>122</v>
      </c>
      <c r="B40" s="3" t="s">
        <v>49</v>
      </c>
      <c r="C40" s="3" t="s">
        <v>123</v>
      </c>
      <c r="D40" s="72" t="s">
        <v>124</v>
      </c>
      <c r="E40" s="73"/>
      <c r="F40" s="3" t="s">
        <v>125</v>
      </c>
      <c r="G40" s="31">
        <v>27.6</v>
      </c>
      <c r="H40" s="71"/>
      <c r="I40" s="32" t="s">
        <v>56</v>
      </c>
      <c r="J40" s="31">
        <f>G40*AO40</f>
        <v>0</v>
      </c>
      <c r="K40" s="31">
        <f>G40*AP40</f>
        <v>0</v>
      </c>
      <c r="L40" s="31">
        <f>G40*H40</f>
        <v>0</v>
      </c>
      <c r="M40" s="31">
        <f>L40*(1+BW40/100)</f>
        <v>0</v>
      </c>
      <c r="N40" s="31">
        <v>0</v>
      </c>
      <c r="O40" s="31">
        <f>G40*N40</f>
        <v>0</v>
      </c>
      <c r="P40" s="33" t="s">
        <v>57</v>
      </c>
      <c r="Z40" s="31">
        <f>IF(AQ40="5",BJ40,0)</f>
        <v>0</v>
      </c>
      <c r="AB40" s="31">
        <f>IF(AQ40="1",BH40,0)</f>
        <v>0</v>
      </c>
      <c r="AC40" s="31">
        <f>IF(AQ40="1",BI40,0)</f>
        <v>0</v>
      </c>
      <c r="AD40" s="31">
        <f>IF(AQ40="7",BH40,0)</f>
        <v>0</v>
      </c>
      <c r="AE40" s="31">
        <f>IF(AQ40="7",BI40,0)</f>
        <v>0</v>
      </c>
      <c r="AF40" s="31">
        <f>IF(AQ40="2",BH40,0)</f>
        <v>0</v>
      </c>
      <c r="AG40" s="31">
        <f>IF(AQ40="2",BI40,0)</f>
        <v>0</v>
      </c>
      <c r="AH40" s="31">
        <f>IF(AQ40="0",BJ40,0)</f>
        <v>0</v>
      </c>
      <c r="AI40" s="12" t="s">
        <v>49</v>
      </c>
      <c r="AJ40" s="31">
        <f>IF(AN40=0,L40,0)</f>
        <v>0</v>
      </c>
      <c r="AK40" s="31">
        <f>IF(AN40=12,L40,0)</f>
        <v>0</v>
      </c>
      <c r="AL40" s="31">
        <f>IF(AN40=21,L40,0)</f>
        <v>0</v>
      </c>
      <c r="AN40" s="31">
        <v>21</v>
      </c>
      <c r="AO40" s="31">
        <f>H40*0.072542373</f>
        <v>0</v>
      </c>
      <c r="AP40" s="31">
        <f>H40*(1-0.072542373)</f>
        <v>0</v>
      </c>
      <c r="AQ40" s="32" t="s">
        <v>52</v>
      </c>
      <c r="AV40" s="31">
        <f>AW40+AX40</f>
        <v>0</v>
      </c>
      <c r="AW40" s="31">
        <f>G40*AO40</f>
        <v>0</v>
      </c>
      <c r="AX40" s="31">
        <f>G40*AP40</f>
        <v>0</v>
      </c>
      <c r="AY40" s="32" t="s">
        <v>126</v>
      </c>
      <c r="AZ40" s="32" t="s">
        <v>59</v>
      </c>
      <c r="BA40" s="12" t="s">
        <v>60</v>
      </c>
      <c r="BC40" s="31">
        <f>AW40+AX40</f>
        <v>0</v>
      </c>
      <c r="BD40" s="31">
        <f>H40/(100-BE40)*100</f>
        <v>0</v>
      </c>
      <c r="BE40" s="31">
        <v>0</v>
      </c>
      <c r="BF40" s="31">
        <f>O40</f>
        <v>0</v>
      </c>
      <c r="BH40" s="31">
        <f>G40*AO40</f>
        <v>0</v>
      </c>
      <c r="BI40" s="31">
        <f>G40*AP40</f>
        <v>0</v>
      </c>
      <c r="BJ40" s="31">
        <f>G40*H40</f>
        <v>0</v>
      </c>
      <c r="BK40" s="31"/>
      <c r="BL40" s="31">
        <v>18</v>
      </c>
      <c r="BW40" s="31" t="str">
        <f>I40</f>
        <v>21</v>
      </c>
      <c r="BX40" s="4" t="s">
        <v>124</v>
      </c>
    </row>
    <row r="41" spans="1:76" ht="14.35" x14ac:dyDescent="0.5">
      <c r="A41" s="34"/>
      <c r="D41" s="35" t="s">
        <v>127</v>
      </c>
      <c r="E41" s="35" t="s">
        <v>128</v>
      </c>
      <c r="G41" s="36">
        <v>27.6</v>
      </c>
      <c r="P41" s="37"/>
    </row>
    <row r="42" spans="1:76" ht="14.35" x14ac:dyDescent="0.5">
      <c r="A42" s="2" t="s">
        <v>50</v>
      </c>
      <c r="B42" s="3" t="s">
        <v>49</v>
      </c>
      <c r="C42" s="3" t="s">
        <v>129</v>
      </c>
      <c r="D42" s="72" t="s">
        <v>130</v>
      </c>
      <c r="E42" s="73"/>
      <c r="F42" s="3" t="s">
        <v>131</v>
      </c>
      <c r="G42" s="31">
        <v>1</v>
      </c>
      <c r="H42" s="71"/>
      <c r="I42" s="32" t="s">
        <v>56</v>
      </c>
      <c r="J42" s="31">
        <f>G42*AO42</f>
        <v>0</v>
      </c>
      <c r="K42" s="31">
        <f>G42*AP42</f>
        <v>0</v>
      </c>
      <c r="L42" s="31">
        <f>G42*H42</f>
        <v>0</v>
      </c>
      <c r="M42" s="31">
        <f>L42*(1+BW42/100)</f>
        <v>0</v>
      </c>
      <c r="N42" s="31">
        <v>1E-3</v>
      </c>
      <c r="O42" s="31">
        <f>G42*N42</f>
        <v>1E-3</v>
      </c>
      <c r="P42" s="33" t="s">
        <v>57</v>
      </c>
      <c r="Z42" s="31">
        <f>IF(AQ42="5",BJ42,0)</f>
        <v>0</v>
      </c>
      <c r="AB42" s="31">
        <f>IF(AQ42="1",BH42,0)</f>
        <v>0</v>
      </c>
      <c r="AC42" s="31">
        <f>IF(AQ42="1",BI42,0)</f>
        <v>0</v>
      </c>
      <c r="AD42" s="31">
        <f>IF(AQ42="7",BH42,0)</f>
        <v>0</v>
      </c>
      <c r="AE42" s="31">
        <f>IF(AQ42="7",BI42,0)</f>
        <v>0</v>
      </c>
      <c r="AF42" s="31">
        <f>IF(AQ42="2",BH42,0)</f>
        <v>0</v>
      </c>
      <c r="AG42" s="31">
        <f>IF(AQ42="2",BI42,0)</f>
        <v>0</v>
      </c>
      <c r="AH42" s="31">
        <f>IF(AQ42="0",BJ42,0)</f>
        <v>0</v>
      </c>
      <c r="AI42" s="12" t="s">
        <v>49</v>
      </c>
      <c r="AJ42" s="31">
        <f>IF(AN42=0,L42,0)</f>
        <v>0</v>
      </c>
      <c r="AK42" s="31">
        <f>IF(AN42=12,L42,0)</f>
        <v>0</v>
      </c>
      <c r="AL42" s="31">
        <f>IF(AN42=21,L42,0)</f>
        <v>0</v>
      </c>
      <c r="AN42" s="31">
        <v>21</v>
      </c>
      <c r="AO42" s="31">
        <f>H42*1</f>
        <v>0</v>
      </c>
      <c r="AP42" s="31">
        <f>H42*(1-1)</f>
        <v>0</v>
      </c>
      <c r="AQ42" s="32" t="s">
        <v>52</v>
      </c>
      <c r="AV42" s="31">
        <f>AW42+AX42</f>
        <v>0</v>
      </c>
      <c r="AW42" s="31">
        <f>G42*AO42</f>
        <v>0</v>
      </c>
      <c r="AX42" s="31">
        <f>G42*AP42</f>
        <v>0</v>
      </c>
      <c r="AY42" s="32" t="s">
        <v>126</v>
      </c>
      <c r="AZ42" s="32" t="s">
        <v>59</v>
      </c>
      <c r="BA42" s="12" t="s">
        <v>60</v>
      </c>
      <c r="BC42" s="31">
        <f>AW42+AX42</f>
        <v>0</v>
      </c>
      <c r="BD42" s="31">
        <f>H42/(100-BE42)*100</f>
        <v>0</v>
      </c>
      <c r="BE42" s="31">
        <v>0</v>
      </c>
      <c r="BF42" s="31">
        <f>O42</f>
        <v>1E-3</v>
      </c>
      <c r="BH42" s="31">
        <f>G42*AO42</f>
        <v>0</v>
      </c>
      <c r="BI42" s="31">
        <f>G42*AP42</f>
        <v>0</v>
      </c>
      <c r="BJ42" s="31">
        <f>G42*H42</f>
        <v>0</v>
      </c>
      <c r="BK42" s="31"/>
      <c r="BL42" s="31">
        <v>18</v>
      </c>
      <c r="BW42" s="31" t="str">
        <f>I42</f>
        <v>21</v>
      </c>
      <c r="BX42" s="4" t="s">
        <v>130</v>
      </c>
    </row>
    <row r="43" spans="1:76" ht="14.35" x14ac:dyDescent="0.5">
      <c r="A43" s="2" t="s">
        <v>132</v>
      </c>
      <c r="B43" s="3" t="s">
        <v>49</v>
      </c>
      <c r="C43" s="3" t="s">
        <v>133</v>
      </c>
      <c r="D43" s="72" t="s">
        <v>134</v>
      </c>
      <c r="E43" s="73"/>
      <c r="F43" s="3" t="s">
        <v>125</v>
      </c>
      <c r="G43" s="31">
        <v>27.6</v>
      </c>
      <c r="H43" s="71"/>
      <c r="I43" s="32" t="s">
        <v>56</v>
      </c>
      <c r="J43" s="31">
        <f>G43*AO43</f>
        <v>0</v>
      </c>
      <c r="K43" s="31">
        <f>G43*AP43</f>
        <v>0</v>
      </c>
      <c r="L43" s="31">
        <f>G43*H43</f>
        <v>0</v>
      </c>
      <c r="M43" s="31">
        <f>L43*(1+BW43/100)</f>
        <v>0</v>
      </c>
      <c r="N43" s="31">
        <v>0</v>
      </c>
      <c r="O43" s="31">
        <f>G43*N43</f>
        <v>0</v>
      </c>
      <c r="P43" s="33" t="s">
        <v>57</v>
      </c>
      <c r="Z43" s="31">
        <f>IF(AQ43="5",BJ43,0)</f>
        <v>0</v>
      </c>
      <c r="AB43" s="31">
        <f>IF(AQ43="1",BH43,0)</f>
        <v>0</v>
      </c>
      <c r="AC43" s="31">
        <f>IF(AQ43="1",BI43,0)</f>
        <v>0</v>
      </c>
      <c r="AD43" s="31">
        <f>IF(AQ43="7",BH43,0)</f>
        <v>0</v>
      </c>
      <c r="AE43" s="31">
        <f>IF(AQ43="7",BI43,0)</f>
        <v>0</v>
      </c>
      <c r="AF43" s="31">
        <f>IF(AQ43="2",BH43,0)</f>
        <v>0</v>
      </c>
      <c r="AG43" s="31">
        <f>IF(AQ43="2",BI43,0)</f>
        <v>0</v>
      </c>
      <c r="AH43" s="31">
        <f>IF(AQ43="0",BJ43,0)</f>
        <v>0</v>
      </c>
      <c r="AI43" s="12" t="s">
        <v>49</v>
      </c>
      <c r="AJ43" s="31">
        <f>IF(AN43=0,L43,0)</f>
        <v>0</v>
      </c>
      <c r="AK43" s="31">
        <f>IF(AN43=12,L43,0)</f>
        <v>0</v>
      </c>
      <c r="AL43" s="31">
        <f>IF(AN43=21,L43,0)</f>
        <v>0</v>
      </c>
      <c r="AN43" s="31">
        <v>21</v>
      </c>
      <c r="AO43" s="31">
        <f>H43*0</f>
        <v>0</v>
      </c>
      <c r="AP43" s="31">
        <f>H43*(1-0)</f>
        <v>0</v>
      </c>
      <c r="AQ43" s="32" t="s">
        <v>52</v>
      </c>
      <c r="AV43" s="31">
        <f>AW43+AX43</f>
        <v>0</v>
      </c>
      <c r="AW43" s="31">
        <f>G43*AO43</f>
        <v>0</v>
      </c>
      <c r="AX43" s="31">
        <f>G43*AP43</f>
        <v>0</v>
      </c>
      <c r="AY43" s="32" t="s">
        <v>126</v>
      </c>
      <c r="AZ43" s="32" t="s">
        <v>59</v>
      </c>
      <c r="BA43" s="12" t="s">
        <v>60</v>
      </c>
      <c r="BC43" s="31">
        <f>AW43+AX43</f>
        <v>0</v>
      </c>
      <c r="BD43" s="31">
        <f>H43/(100-BE43)*100</f>
        <v>0</v>
      </c>
      <c r="BE43" s="31">
        <v>0</v>
      </c>
      <c r="BF43" s="31">
        <f>O43</f>
        <v>0</v>
      </c>
      <c r="BH43" s="31">
        <f>G43*AO43</f>
        <v>0</v>
      </c>
      <c r="BI43" s="31">
        <f>G43*AP43</f>
        <v>0</v>
      </c>
      <c r="BJ43" s="31">
        <f>G43*H43</f>
        <v>0</v>
      </c>
      <c r="BK43" s="31"/>
      <c r="BL43" s="31">
        <v>18</v>
      </c>
      <c r="BW43" s="31" t="str">
        <f>I43</f>
        <v>21</v>
      </c>
      <c r="BX43" s="4" t="s">
        <v>134</v>
      </c>
    </row>
    <row r="44" spans="1:76" ht="14.35" x14ac:dyDescent="0.5">
      <c r="A44" s="38" t="s">
        <v>49</v>
      </c>
      <c r="B44" s="39" t="s">
        <v>49</v>
      </c>
      <c r="C44" s="39" t="s">
        <v>135</v>
      </c>
      <c r="D44" s="126" t="s">
        <v>136</v>
      </c>
      <c r="E44" s="127"/>
      <c r="F44" s="40" t="s">
        <v>3</v>
      </c>
      <c r="G44" s="40" t="s">
        <v>3</v>
      </c>
      <c r="H44" s="40" t="s">
        <v>3</v>
      </c>
      <c r="I44" s="40" t="s">
        <v>3</v>
      </c>
      <c r="J44" s="1">
        <f>SUM(J45:J45)</f>
        <v>0</v>
      </c>
      <c r="K44" s="1">
        <f>SUM(K45:K45)</f>
        <v>0</v>
      </c>
      <c r="L44" s="1">
        <f>SUM(L45:L45)</f>
        <v>0</v>
      </c>
      <c r="M44" s="1">
        <f>SUM(M45:M45)</f>
        <v>0</v>
      </c>
      <c r="N44" s="12" t="s">
        <v>49</v>
      </c>
      <c r="O44" s="1">
        <f>SUM(O45:O45)</f>
        <v>0</v>
      </c>
      <c r="P44" s="41" t="s">
        <v>49</v>
      </c>
      <c r="AI44" s="12" t="s">
        <v>49</v>
      </c>
      <c r="AS44" s="1">
        <f>SUM(AJ45:AJ45)</f>
        <v>0</v>
      </c>
      <c r="AT44" s="1">
        <f>SUM(AK45:AK45)</f>
        <v>0</v>
      </c>
      <c r="AU44" s="1">
        <f>SUM(AL45:AL45)</f>
        <v>0</v>
      </c>
    </row>
    <row r="45" spans="1:76" ht="14.35" x14ac:dyDescent="0.5">
      <c r="A45" s="2" t="s">
        <v>137</v>
      </c>
      <c r="B45" s="3" t="s">
        <v>49</v>
      </c>
      <c r="C45" s="3" t="s">
        <v>138</v>
      </c>
      <c r="D45" s="72" t="s">
        <v>139</v>
      </c>
      <c r="E45" s="73"/>
      <c r="F45" s="3" t="s">
        <v>55</v>
      </c>
      <c r="G45" s="31">
        <v>6.55</v>
      </c>
      <c r="H45" s="71"/>
      <c r="I45" s="32" t="s">
        <v>56</v>
      </c>
      <c r="J45" s="31">
        <f>G45*AO45</f>
        <v>0</v>
      </c>
      <c r="K45" s="31">
        <f>G45*AP45</f>
        <v>0</v>
      </c>
      <c r="L45" s="31">
        <f>G45*H45</f>
        <v>0</v>
      </c>
      <c r="M45" s="31">
        <f>L45*(1+BW45/100)</f>
        <v>0</v>
      </c>
      <c r="N45" s="31">
        <v>0</v>
      </c>
      <c r="O45" s="31">
        <f>G45*N45</f>
        <v>0</v>
      </c>
      <c r="P45" s="33" t="s">
        <v>57</v>
      </c>
      <c r="Z45" s="31">
        <f>IF(AQ45="5",BJ45,0)</f>
        <v>0</v>
      </c>
      <c r="AB45" s="31">
        <f>IF(AQ45="1",BH45,0)</f>
        <v>0</v>
      </c>
      <c r="AC45" s="31">
        <f>IF(AQ45="1",BI45,0)</f>
        <v>0</v>
      </c>
      <c r="AD45" s="31">
        <f>IF(AQ45="7",BH45,0)</f>
        <v>0</v>
      </c>
      <c r="AE45" s="31">
        <f>IF(AQ45="7",BI45,0)</f>
        <v>0</v>
      </c>
      <c r="AF45" s="31">
        <f>IF(AQ45="2",BH45,0)</f>
        <v>0</v>
      </c>
      <c r="AG45" s="31">
        <f>IF(AQ45="2",BI45,0)</f>
        <v>0</v>
      </c>
      <c r="AH45" s="31">
        <f>IF(AQ45="0",BJ45,0)</f>
        <v>0</v>
      </c>
      <c r="AI45" s="12" t="s">
        <v>49</v>
      </c>
      <c r="AJ45" s="31">
        <f>IF(AN45=0,L45,0)</f>
        <v>0</v>
      </c>
      <c r="AK45" s="31">
        <f>IF(AN45=12,L45,0)</f>
        <v>0</v>
      </c>
      <c r="AL45" s="31">
        <f>IF(AN45=21,L45,0)</f>
        <v>0</v>
      </c>
      <c r="AN45" s="31">
        <v>21</v>
      </c>
      <c r="AO45" s="31">
        <f>H45*0</f>
        <v>0</v>
      </c>
      <c r="AP45" s="31">
        <f>H45*(1-0)</f>
        <v>0</v>
      </c>
      <c r="AQ45" s="32" t="s">
        <v>52</v>
      </c>
      <c r="AV45" s="31">
        <f>AW45+AX45</f>
        <v>0</v>
      </c>
      <c r="AW45" s="31">
        <f>G45*AO45</f>
        <v>0</v>
      </c>
      <c r="AX45" s="31">
        <f>G45*AP45</f>
        <v>0</v>
      </c>
      <c r="AY45" s="32" t="s">
        <v>140</v>
      </c>
      <c r="AZ45" s="32" t="s">
        <v>59</v>
      </c>
      <c r="BA45" s="12" t="s">
        <v>60</v>
      </c>
      <c r="BC45" s="31">
        <f>AW45+AX45</f>
        <v>0</v>
      </c>
      <c r="BD45" s="31">
        <f>H45/(100-BE45)*100</f>
        <v>0</v>
      </c>
      <c r="BE45" s="31">
        <v>0</v>
      </c>
      <c r="BF45" s="31">
        <f>O45</f>
        <v>0</v>
      </c>
      <c r="BH45" s="31">
        <f>G45*AO45</f>
        <v>0</v>
      </c>
      <c r="BI45" s="31">
        <f>G45*AP45</f>
        <v>0</v>
      </c>
      <c r="BJ45" s="31">
        <f>G45*H45</f>
        <v>0</v>
      </c>
      <c r="BK45" s="31"/>
      <c r="BL45" s="31">
        <v>19</v>
      </c>
      <c r="BW45" s="31" t="str">
        <f>I45</f>
        <v>21</v>
      </c>
      <c r="BX45" s="4" t="s">
        <v>139</v>
      </c>
    </row>
    <row r="46" spans="1:76" ht="14.35" x14ac:dyDescent="0.5">
      <c r="A46" s="34"/>
      <c r="D46" s="35" t="s">
        <v>98</v>
      </c>
      <c r="E46" s="35" t="s">
        <v>99</v>
      </c>
      <c r="G46" s="36">
        <v>6.55</v>
      </c>
      <c r="P46" s="37"/>
    </row>
    <row r="47" spans="1:76" ht="14.35" x14ac:dyDescent="0.5">
      <c r="A47" s="38" t="s">
        <v>49</v>
      </c>
      <c r="B47" s="39" t="s">
        <v>49</v>
      </c>
      <c r="C47" s="39" t="s">
        <v>56</v>
      </c>
      <c r="D47" s="126" t="s">
        <v>141</v>
      </c>
      <c r="E47" s="127"/>
      <c r="F47" s="40" t="s">
        <v>3</v>
      </c>
      <c r="G47" s="40" t="s">
        <v>3</v>
      </c>
      <c r="H47" s="40" t="s">
        <v>3</v>
      </c>
      <c r="I47" s="40" t="s">
        <v>3</v>
      </c>
      <c r="J47" s="1">
        <f>SUM(J48:J55)</f>
        <v>0</v>
      </c>
      <c r="K47" s="1">
        <f>SUM(K48:K55)</f>
        <v>0</v>
      </c>
      <c r="L47" s="1">
        <f>SUM(L48:L55)</f>
        <v>0</v>
      </c>
      <c r="M47" s="1">
        <f>SUM(M48:M55)</f>
        <v>0</v>
      </c>
      <c r="N47" s="12" t="s">
        <v>49</v>
      </c>
      <c r="O47" s="1">
        <f>SUM(O48:O55)</f>
        <v>4.4989710000000001</v>
      </c>
      <c r="P47" s="41" t="s">
        <v>49</v>
      </c>
      <c r="AI47" s="12" t="s">
        <v>49</v>
      </c>
      <c r="AS47" s="1">
        <f>SUM(AJ48:AJ55)</f>
        <v>0</v>
      </c>
      <c r="AT47" s="1">
        <f>SUM(AK48:AK55)</f>
        <v>0</v>
      </c>
      <c r="AU47" s="1">
        <f>SUM(AL48:AL55)</f>
        <v>0</v>
      </c>
    </row>
    <row r="48" spans="1:76" ht="14.35" x14ac:dyDescent="0.5">
      <c r="A48" s="2" t="s">
        <v>75</v>
      </c>
      <c r="B48" s="3" t="s">
        <v>49</v>
      </c>
      <c r="C48" s="3" t="s">
        <v>142</v>
      </c>
      <c r="D48" s="72" t="s">
        <v>143</v>
      </c>
      <c r="E48" s="73"/>
      <c r="F48" s="3" t="s">
        <v>55</v>
      </c>
      <c r="G48" s="31">
        <v>0.86</v>
      </c>
      <c r="H48" s="71"/>
      <c r="I48" s="32" t="s">
        <v>56</v>
      </c>
      <c r="J48" s="31">
        <f>G48*AO48</f>
        <v>0</v>
      </c>
      <c r="K48" s="31">
        <f>G48*AP48</f>
        <v>0</v>
      </c>
      <c r="L48" s="31">
        <f>G48*H48</f>
        <v>0</v>
      </c>
      <c r="M48" s="31">
        <f>L48*(1+BW48/100)</f>
        <v>0</v>
      </c>
      <c r="N48" s="31">
        <v>1.665</v>
      </c>
      <c r="O48" s="31">
        <f>G48*N48</f>
        <v>1.4319</v>
      </c>
      <c r="P48" s="33" t="s">
        <v>57</v>
      </c>
      <c r="Z48" s="31">
        <f>IF(AQ48="5",BJ48,0)</f>
        <v>0</v>
      </c>
      <c r="AB48" s="31">
        <f>IF(AQ48="1",BH48,0)</f>
        <v>0</v>
      </c>
      <c r="AC48" s="31">
        <f>IF(AQ48="1",BI48,0)</f>
        <v>0</v>
      </c>
      <c r="AD48" s="31">
        <f>IF(AQ48="7",BH48,0)</f>
        <v>0</v>
      </c>
      <c r="AE48" s="31">
        <f>IF(AQ48="7",BI48,0)</f>
        <v>0</v>
      </c>
      <c r="AF48" s="31">
        <f>IF(AQ48="2",BH48,0)</f>
        <v>0</v>
      </c>
      <c r="AG48" s="31">
        <f>IF(AQ48="2",BI48,0)</f>
        <v>0</v>
      </c>
      <c r="AH48" s="31">
        <f>IF(AQ48="0",BJ48,0)</f>
        <v>0</v>
      </c>
      <c r="AI48" s="12" t="s">
        <v>49</v>
      </c>
      <c r="AJ48" s="31">
        <f>IF(AN48=0,L48,0)</f>
        <v>0</v>
      </c>
      <c r="AK48" s="31">
        <f>IF(AN48=12,L48,0)</f>
        <v>0</v>
      </c>
      <c r="AL48" s="31">
        <f>IF(AN48=21,L48,0)</f>
        <v>0</v>
      </c>
      <c r="AN48" s="31">
        <v>21</v>
      </c>
      <c r="AO48" s="31">
        <f>H48*0.73936875</f>
        <v>0</v>
      </c>
      <c r="AP48" s="31">
        <f>H48*(1-0.73936875)</f>
        <v>0</v>
      </c>
      <c r="AQ48" s="32" t="s">
        <v>52</v>
      </c>
      <c r="AV48" s="31">
        <f>AW48+AX48</f>
        <v>0</v>
      </c>
      <c r="AW48" s="31">
        <f>G48*AO48</f>
        <v>0</v>
      </c>
      <c r="AX48" s="31">
        <f>G48*AP48</f>
        <v>0</v>
      </c>
      <c r="AY48" s="32" t="s">
        <v>144</v>
      </c>
      <c r="AZ48" s="32" t="s">
        <v>145</v>
      </c>
      <c r="BA48" s="12" t="s">
        <v>60</v>
      </c>
      <c r="BC48" s="31">
        <f>AW48+AX48</f>
        <v>0</v>
      </c>
      <c r="BD48" s="31">
        <f>H48/(100-BE48)*100</f>
        <v>0</v>
      </c>
      <c r="BE48" s="31">
        <v>0</v>
      </c>
      <c r="BF48" s="31">
        <f>O48</f>
        <v>1.4319</v>
      </c>
      <c r="BH48" s="31">
        <f>G48*AO48</f>
        <v>0</v>
      </c>
      <c r="BI48" s="31">
        <f>G48*AP48</f>
        <v>0</v>
      </c>
      <c r="BJ48" s="31">
        <f>G48*H48</f>
        <v>0</v>
      </c>
      <c r="BK48" s="31"/>
      <c r="BL48" s="31">
        <v>21</v>
      </c>
      <c r="BW48" s="31" t="str">
        <f>I48</f>
        <v>21</v>
      </c>
      <c r="BX48" s="4" t="s">
        <v>143</v>
      </c>
    </row>
    <row r="49" spans="1:76" ht="14.35" x14ac:dyDescent="0.5">
      <c r="A49" s="34"/>
      <c r="D49" s="35" t="s">
        <v>146</v>
      </c>
      <c r="E49" s="35" t="s">
        <v>147</v>
      </c>
      <c r="G49" s="36">
        <v>0.86</v>
      </c>
      <c r="P49" s="37"/>
    </row>
    <row r="50" spans="1:76" ht="14.35" x14ac:dyDescent="0.5">
      <c r="A50" s="2" t="s">
        <v>103</v>
      </c>
      <c r="B50" s="3" t="s">
        <v>49</v>
      </c>
      <c r="C50" s="3" t="s">
        <v>148</v>
      </c>
      <c r="D50" s="72" t="s">
        <v>149</v>
      </c>
      <c r="E50" s="73"/>
      <c r="F50" s="3" t="s">
        <v>150</v>
      </c>
      <c r="G50" s="31">
        <v>13.8</v>
      </c>
      <c r="H50" s="71"/>
      <c r="I50" s="32" t="s">
        <v>56</v>
      </c>
      <c r="J50" s="31">
        <f>G50*AO50</f>
        <v>0</v>
      </c>
      <c r="K50" s="31">
        <f>G50*AP50</f>
        <v>0</v>
      </c>
      <c r="L50" s="31">
        <f>G50*H50</f>
        <v>0</v>
      </c>
      <c r="M50" s="31">
        <f>L50*(1+BW50/100)</f>
        <v>0</v>
      </c>
      <c r="N50" s="31">
        <v>0</v>
      </c>
      <c r="O50" s="31">
        <f>G50*N50</f>
        <v>0</v>
      </c>
      <c r="P50" s="33" t="s">
        <v>57</v>
      </c>
      <c r="Z50" s="31">
        <f>IF(AQ50="5",BJ50,0)</f>
        <v>0</v>
      </c>
      <c r="AB50" s="31">
        <f>IF(AQ50="1",BH50,0)</f>
        <v>0</v>
      </c>
      <c r="AC50" s="31">
        <f>IF(AQ50="1",BI50,0)</f>
        <v>0</v>
      </c>
      <c r="AD50" s="31">
        <f>IF(AQ50="7",BH50,0)</f>
        <v>0</v>
      </c>
      <c r="AE50" s="31">
        <f>IF(AQ50="7",BI50,0)</f>
        <v>0</v>
      </c>
      <c r="AF50" s="31">
        <f>IF(AQ50="2",BH50,0)</f>
        <v>0</v>
      </c>
      <c r="AG50" s="31">
        <f>IF(AQ50="2",BI50,0)</f>
        <v>0</v>
      </c>
      <c r="AH50" s="31">
        <f>IF(AQ50="0",BJ50,0)</f>
        <v>0</v>
      </c>
      <c r="AI50" s="12" t="s">
        <v>49</v>
      </c>
      <c r="AJ50" s="31">
        <f>IF(AN50=0,L50,0)</f>
        <v>0</v>
      </c>
      <c r="AK50" s="31">
        <f>IF(AN50=12,L50,0)</f>
        <v>0</v>
      </c>
      <c r="AL50" s="31">
        <f>IF(AN50=21,L50,0)</f>
        <v>0</v>
      </c>
      <c r="AN50" s="31">
        <v>21</v>
      </c>
      <c r="AO50" s="31">
        <f>H50*0</f>
        <v>0</v>
      </c>
      <c r="AP50" s="31">
        <f>H50*(1-0)</f>
        <v>0</v>
      </c>
      <c r="AQ50" s="32" t="s">
        <v>52</v>
      </c>
      <c r="AV50" s="31">
        <f>AW50+AX50</f>
        <v>0</v>
      </c>
      <c r="AW50" s="31">
        <f>G50*AO50</f>
        <v>0</v>
      </c>
      <c r="AX50" s="31">
        <f>G50*AP50</f>
        <v>0</v>
      </c>
      <c r="AY50" s="32" t="s">
        <v>144</v>
      </c>
      <c r="AZ50" s="32" t="s">
        <v>145</v>
      </c>
      <c r="BA50" s="12" t="s">
        <v>60</v>
      </c>
      <c r="BC50" s="31">
        <f>AW50+AX50</f>
        <v>0</v>
      </c>
      <c r="BD50" s="31">
        <f>H50/(100-BE50)*100</f>
        <v>0</v>
      </c>
      <c r="BE50" s="31">
        <v>0</v>
      </c>
      <c r="BF50" s="31">
        <f>O50</f>
        <v>0</v>
      </c>
      <c r="BH50" s="31">
        <f>G50*AO50</f>
        <v>0</v>
      </c>
      <c r="BI50" s="31">
        <f>G50*AP50</f>
        <v>0</v>
      </c>
      <c r="BJ50" s="31">
        <f>G50*H50</f>
        <v>0</v>
      </c>
      <c r="BK50" s="31"/>
      <c r="BL50" s="31">
        <v>21</v>
      </c>
      <c r="BW50" s="31" t="str">
        <f>I50</f>
        <v>21</v>
      </c>
      <c r="BX50" s="4" t="s">
        <v>149</v>
      </c>
    </row>
    <row r="51" spans="1:76" ht="14.35" x14ac:dyDescent="0.5">
      <c r="A51" s="2" t="s">
        <v>120</v>
      </c>
      <c r="B51" s="3" t="s">
        <v>49</v>
      </c>
      <c r="C51" s="3" t="s">
        <v>151</v>
      </c>
      <c r="D51" s="72" t="s">
        <v>152</v>
      </c>
      <c r="E51" s="73"/>
      <c r="F51" s="3" t="s">
        <v>150</v>
      </c>
      <c r="G51" s="31">
        <v>15</v>
      </c>
      <c r="H51" s="71"/>
      <c r="I51" s="32" t="s">
        <v>56</v>
      </c>
      <c r="J51" s="31">
        <f>G51*AO51</f>
        <v>0</v>
      </c>
      <c r="K51" s="31">
        <f>G51*AP51</f>
        <v>0</v>
      </c>
      <c r="L51" s="31">
        <f>G51*H51</f>
        <v>0</v>
      </c>
      <c r="M51" s="31">
        <f>L51*(1+BW51/100)</f>
        <v>0</v>
      </c>
      <c r="N51" s="31">
        <v>4.8000000000000001E-4</v>
      </c>
      <c r="O51" s="31">
        <f>G51*N51</f>
        <v>7.1999999999999998E-3</v>
      </c>
      <c r="P51" s="33" t="s">
        <v>57</v>
      </c>
      <c r="Z51" s="31">
        <f>IF(AQ51="5",BJ51,0)</f>
        <v>0</v>
      </c>
      <c r="AB51" s="31">
        <f>IF(AQ51="1",BH51,0)</f>
        <v>0</v>
      </c>
      <c r="AC51" s="31">
        <f>IF(AQ51="1",BI51,0)</f>
        <v>0</v>
      </c>
      <c r="AD51" s="31">
        <f>IF(AQ51="7",BH51,0)</f>
        <v>0</v>
      </c>
      <c r="AE51" s="31">
        <f>IF(AQ51="7",BI51,0)</f>
        <v>0</v>
      </c>
      <c r="AF51" s="31">
        <f>IF(AQ51="2",BH51,0)</f>
        <v>0</v>
      </c>
      <c r="AG51" s="31">
        <f>IF(AQ51="2",BI51,0)</f>
        <v>0</v>
      </c>
      <c r="AH51" s="31">
        <f>IF(AQ51="0",BJ51,0)</f>
        <v>0</v>
      </c>
      <c r="AI51" s="12" t="s">
        <v>49</v>
      </c>
      <c r="AJ51" s="31">
        <f>IF(AN51=0,L51,0)</f>
        <v>0</v>
      </c>
      <c r="AK51" s="31">
        <f>IF(AN51=12,L51,0)</f>
        <v>0</v>
      </c>
      <c r="AL51" s="31">
        <f>IF(AN51=21,L51,0)</f>
        <v>0</v>
      </c>
      <c r="AN51" s="31">
        <v>21</v>
      </c>
      <c r="AO51" s="31">
        <f>H51*1</f>
        <v>0</v>
      </c>
      <c r="AP51" s="31">
        <f>H51*(1-1)</f>
        <v>0</v>
      </c>
      <c r="AQ51" s="32" t="s">
        <v>52</v>
      </c>
      <c r="AV51" s="31">
        <f>AW51+AX51</f>
        <v>0</v>
      </c>
      <c r="AW51" s="31">
        <f>G51*AO51</f>
        <v>0</v>
      </c>
      <c r="AX51" s="31">
        <f>G51*AP51</f>
        <v>0</v>
      </c>
      <c r="AY51" s="32" t="s">
        <v>144</v>
      </c>
      <c r="AZ51" s="32" t="s">
        <v>145</v>
      </c>
      <c r="BA51" s="12" t="s">
        <v>60</v>
      </c>
      <c r="BC51" s="31">
        <f>AW51+AX51</f>
        <v>0</v>
      </c>
      <c r="BD51" s="31">
        <f>H51/(100-BE51)*100</f>
        <v>0</v>
      </c>
      <c r="BE51" s="31">
        <v>0</v>
      </c>
      <c r="BF51" s="31">
        <f>O51</f>
        <v>7.1999999999999998E-3</v>
      </c>
      <c r="BH51" s="31">
        <f>G51*AO51</f>
        <v>0</v>
      </c>
      <c r="BI51" s="31">
        <f>G51*AP51</f>
        <v>0</v>
      </c>
      <c r="BJ51" s="31">
        <f>G51*H51</f>
        <v>0</v>
      </c>
      <c r="BK51" s="31"/>
      <c r="BL51" s="31">
        <v>21</v>
      </c>
      <c r="BW51" s="31" t="str">
        <f>I51</f>
        <v>21</v>
      </c>
      <c r="BX51" s="4" t="s">
        <v>152</v>
      </c>
    </row>
    <row r="52" spans="1:76" ht="14.35" x14ac:dyDescent="0.5">
      <c r="A52" s="2" t="s">
        <v>135</v>
      </c>
      <c r="B52" s="3" t="s">
        <v>49</v>
      </c>
      <c r="C52" s="3" t="s">
        <v>153</v>
      </c>
      <c r="D52" s="72" t="s">
        <v>154</v>
      </c>
      <c r="E52" s="73"/>
      <c r="F52" s="3" t="s">
        <v>150</v>
      </c>
      <c r="G52" s="31">
        <v>13.8</v>
      </c>
      <c r="H52" s="71"/>
      <c r="I52" s="32" t="s">
        <v>56</v>
      </c>
      <c r="J52" s="31">
        <f>G52*AO52</f>
        <v>0</v>
      </c>
      <c r="K52" s="31">
        <f>G52*AP52</f>
        <v>0</v>
      </c>
      <c r="L52" s="31">
        <f>G52*H52</f>
        <v>0</v>
      </c>
      <c r="M52" s="31">
        <f>L52*(1+BW52/100)</f>
        <v>0</v>
      </c>
      <c r="N52" s="31">
        <v>0.22106999999999999</v>
      </c>
      <c r="O52" s="31">
        <f>G52*N52</f>
        <v>3.0507659999999999</v>
      </c>
      <c r="P52" s="33" t="s">
        <v>57</v>
      </c>
      <c r="Z52" s="31">
        <f>IF(AQ52="5",BJ52,0)</f>
        <v>0</v>
      </c>
      <c r="AB52" s="31">
        <f>IF(AQ52="1",BH52,0)</f>
        <v>0</v>
      </c>
      <c r="AC52" s="31">
        <f>IF(AQ52="1",BI52,0)</f>
        <v>0</v>
      </c>
      <c r="AD52" s="31">
        <f>IF(AQ52="7",BH52,0)</f>
        <v>0</v>
      </c>
      <c r="AE52" s="31">
        <f>IF(AQ52="7",BI52,0)</f>
        <v>0</v>
      </c>
      <c r="AF52" s="31">
        <f>IF(AQ52="2",BH52,0)</f>
        <v>0</v>
      </c>
      <c r="AG52" s="31">
        <f>IF(AQ52="2",BI52,0)</f>
        <v>0</v>
      </c>
      <c r="AH52" s="31">
        <f>IF(AQ52="0",BJ52,0)</f>
        <v>0</v>
      </c>
      <c r="AI52" s="12" t="s">
        <v>49</v>
      </c>
      <c r="AJ52" s="31">
        <f>IF(AN52=0,L52,0)</f>
        <v>0</v>
      </c>
      <c r="AK52" s="31">
        <f>IF(AN52=12,L52,0)</f>
        <v>0</v>
      </c>
      <c r="AL52" s="31">
        <f>IF(AN52=21,L52,0)</f>
        <v>0</v>
      </c>
      <c r="AN52" s="31">
        <v>21</v>
      </c>
      <c r="AO52" s="31">
        <f>H52*0.535457064</f>
        <v>0</v>
      </c>
      <c r="AP52" s="31">
        <f>H52*(1-0.535457064)</f>
        <v>0</v>
      </c>
      <c r="AQ52" s="32" t="s">
        <v>52</v>
      </c>
      <c r="AV52" s="31">
        <f>AW52+AX52</f>
        <v>0</v>
      </c>
      <c r="AW52" s="31">
        <f>G52*AO52</f>
        <v>0</v>
      </c>
      <c r="AX52" s="31">
        <f>G52*AP52</f>
        <v>0</v>
      </c>
      <c r="AY52" s="32" t="s">
        <v>144</v>
      </c>
      <c r="AZ52" s="32" t="s">
        <v>145</v>
      </c>
      <c r="BA52" s="12" t="s">
        <v>60</v>
      </c>
      <c r="BC52" s="31">
        <f>AW52+AX52</f>
        <v>0</v>
      </c>
      <c r="BD52" s="31">
        <f>H52/(100-BE52)*100</f>
        <v>0</v>
      </c>
      <c r="BE52" s="31">
        <v>0</v>
      </c>
      <c r="BF52" s="31">
        <f>O52</f>
        <v>3.0507659999999999</v>
      </c>
      <c r="BH52" s="31">
        <f>G52*AO52</f>
        <v>0</v>
      </c>
      <c r="BI52" s="31">
        <f>G52*AP52</f>
        <v>0</v>
      </c>
      <c r="BJ52" s="31">
        <f>G52*H52</f>
        <v>0</v>
      </c>
      <c r="BK52" s="31"/>
      <c r="BL52" s="31">
        <v>21</v>
      </c>
      <c r="BW52" s="31" t="str">
        <f>I52</f>
        <v>21</v>
      </c>
      <c r="BX52" s="4" t="s">
        <v>154</v>
      </c>
    </row>
    <row r="53" spans="1:76" ht="14.35" x14ac:dyDescent="0.5">
      <c r="A53" s="2" t="s">
        <v>155</v>
      </c>
      <c r="B53" s="3" t="s">
        <v>49</v>
      </c>
      <c r="C53" s="3" t="s">
        <v>156</v>
      </c>
      <c r="D53" s="72" t="s">
        <v>157</v>
      </c>
      <c r="E53" s="73"/>
      <c r="F53" s="3" t="s">
        <v>125</v>
      </c>
      <c r="G53" s="31">
        <v>17.25</v>
      </c>
      <c r="H53" s="71"/>
      <c r="I53" s="32" t="s">
        <v>56</v>
      </c>
      <c r="J53" s="31">
        <f>G53*AO53</f>
        <v>0</v>
      </c>
      <c r="K53" s="31">
        <f>G53*AP53</f>
        <v>0</v>
      </c>
      <c r="L53" s="31">
        <f>G53*H53</f>
        <v>0</v>
      </c>
      <c r="M53" s="31">
        <f>L53*(1+BW53/100)</f>
        <v>0</v>
      </c>
      <c r="N53" s="31">
        <v>1.8000000000000001E-4</v>
      </c>
      <c r="O53" s="31">
        <f>G53*N53</f>
        <v>3.1050000000000001E-3</v>
      </c>
      <c r="P53" s="33" t="s">
        <v>57</v>
      </c>
      <c r="Z53" s="31">
        <f>IF(AQ53="5",BJ53,0)</f>
        <v>0</v>
      </c>
      <c r="AB53" s="31">
        <f>IF(AQ53="1",BH53,0)</f>
        <v>0</v>
      </c>
      <c r="AC53" s="31">
        <f>IF(AQ53="1",BI53,0)</f>
        <v>0</v>
      </c>
      <c r="AD53" s="31">
        <f>IF(AQ53="7",BH53,0)</f>
        <v>0</v>
      </c>
      <c r="AE53" s="31">
        <f>IF(AQ53="7",BI53,0)</f>
        <v>0</v>
      </c>
      <c r="AF53" s="31">
        <f>IF(AQ53="2",BH53,0)</f>
        <v>0</v>
      </c>
      <c r="AG53" s="31">
        <f>IF(AQ53="2",BI53,0)</f>
        <v>0</v>
      </c>
      <c r="AH53" s="31">
        <f>IF(AQ53="0",BJ53,0)</f>
        <v>0</v>
      </c>
      <c r="AI53" s="12" t="s">
        <v>49</v>
      </c>
      <c r="AJ53" s="31">
        <f>IF(AN53=0,L53,0)</f>
        <v>0</v>
      </c>
      <c r="AK53" s="31">
        <f>IF(AN53=12,L53,0)</f>
        <v>0</v>
      </c>
      <c r="AL53" s="31">
        <f>IF(AN53=21,L53,0)</f>
        <v>0</v>
      </c>
      <c r="AN53" s="31">
        <v>21</v>
      </c>
      <c r="AO53" s="31">
        <f>H53*0.142986425</f>
        <v>0</v>
      </c>
      <c r="AP53" s="31">
        <f>H53*(1-0.142986425)</f>
        <v>0</v>
      </c>
      <c r="AQ53" s="32" t="s">
        <v>52</v>
      </c>
      <c r="AV53" s="31">
        <f>AW53+AX53</f>
        <v>0</v>
      </c>
      <c r="AW53" s="31">
        <f>G53*AO53</f>
        <v>0</v>
      </c>
      <c r="AX53" s="31">
        <f>G53*AP53</f>
        <v>0</v>
      </c>
      <c r="AY53" s="32" t="s">
        <v>144</v>
      </c>
      <c r="AZ53" s="32" t="s">
        <v>145</v>
      </c>
      <c r="BA53" s="12" t="s">
        <v>60</v>
      </c>
      <c r="BC53" s="31">
        <f>AW53+AX53</f>
        <v>0</v>
      </c>
      <c r="BD53" s="31">
        <f>H53/(100-BE53)*100</f>
        <v>0</v>
      </c>
      <c r="BE53" s="31">
        <v>0</v>
      </c>
      <c r="BF53" s="31">
        <f>O53</f>
        <v>3.1050000000000001E-3</v>
      </c>
      <c r="BH53" s="31">
        <f>G53*AO53</f>
        <v>0</v>
      </c>
      <c r="BI53" s="31">
        <f>G53*AP53</f>
        <v>0</v>
      </c>
      <c r="BJ53" s="31">
        <f>G53*H53</f>
        <v>0</v>
      </c>
      <c r="BK53" s="31"/>
      <c r="BL53" s="31">
        <v>21</v>
      </c>
      <c r="BW53" s="31" t="str">
        <f>I53</f>
        <v>21</v>
      </c>
      <c r="BX53" s="4" t="s">
        <v>157</v>
      </c>
    </row>
    <row r="54" spans="1:76" ht="14.35" x14ac:dyDescent="0.5">
      <c r="A54" s="34"/>
      <c r="D54" s="35" t="s">
        <v>158</v>
      </c>
      <c r="E54" s="35" t="s">
        <v>49</v>
      </c>
      <c r="G54" s="36">
        <v>17.25</v>
      </c>
      <c r="P54" s="37"/>
    </row>
    <row r="55" spans="1:76" ht="14.35" x14ac:dyDescent="0.5">
      <c r="A55" s="2" t="s">
        <v>56</v>
      </c>
      <c r="B55" s="3" t="s">
        <v>49</v>
      </c>
      <c r="C55" s="3" t="s">
        <v>159</v>
      </c>
      <c r="D55" s="72" t="s">
        <v>160</v>
      </c>
      <c r="E55" s="73"/>
      <c r="F55" s="3" t="s">
        <v>125</v>
      </c>
      <c r="G55" s="31">
        <v>20</v>
      </c>
      <c r="H55" s="71"/>
      <c r="I55" s="32" t="s">
        <v>56</v>
      </c>
      <c r="J55" s="31">
        <f>G55*AO55</f>
        <v>0</v>
      </c>
      <c r="K55" s="31">
        <f>G55*AP55</f>
        <v>0</v>
      </c>
      <c r="L55" s="31">
        <f>G55*H55</f>
        <v>0</v>
      </c>
      <c r="M55" s="31">
        <f>L55*(1+BW55/100)</f>
        <v>0</v>
      </c>
      <c r="N55" s="31">
        <v>2.9999999999999997E-4</v>
      </c>
      <c r="O55" s="31">
        <f>G55*N55</f>
        <v>5.9999999999999993E-3</v>
      </c>
      <c r="P55" s="33" t="s">
        <v>57</v>
      </c>
      <c r="Z55" s="31">
        <f>IF(AQ55="5",BJ55,0)</f>
        <v>0</v>
      </c>
      <c r="AB55" s="31">
        <f>IF(AQ55="1",BH55,0)</f>
        <v>0</v>
      </c>
      <c r="AC55" s="31">
        <f>IF(AQ55="1",BI55,0)</f>
        <v>0</v>
      </c>
      <c r="AD55" s="31">
        <f>IF(AQ55="7",BH55,0)</f>
        <v>0</v>
      </c>
      <c r="AE55" s="31">
        <f>IF(AQ55="7",BI55,0)</f>
        <v>0</v>
      </c>
      <c r="AF55" s="31">
        <f>IF(AQ55="2",BH55,0)</f>
        <v>0</v>
      </c>
      <c r="AG55" s="31">
        <f>IF(AQ55="2",BI55,0)</f>
        <v>0</v>
      </c>
      <c r="AH55" s="31">
        <f>IF(AQ55="0",BJ55,0)</f>
        <v>0</v>
      </c>
      <c r="AI55" s="12" t="s">
        <v>49</v>
      </c>
      <c r="AJ55" s="31">
        <f>IF(AN55=0,L55,0)</f>
        <v>0</v>
      </c>
      <c r="AK55" s="31">
        <f>IF(AN55=12,L55,0)</f>
        <v>0</v>
      </c>
      <c r="AL55" s="31">
        <f>IF(AN55=21,L55,0)</f>
        <v>0</v>
      </c>
      <c r="AN55" s="31">
        <v>21</v>
      </c>
      <c r="AO55" s="31">
        <f>H55*1</f>
        <v>0</v>
      </c>
      <c r="AP55" s="31">
        <f>H55*(1-1)</f>
        <v>0</v>
      </c>
      <c r="AQ55" s="32" t="s">
        <v>52</v>
      </c>
      <c r="AV55" s="31">
        <f>AW55+AX55</f>
        <v>0</v>
      </c>
      <c r="AW55" s="31">
        <f>G55*AO55</f>
        <v>0</v>
      </c>
      <c r="AX55" s="31">
        <f>G55*AP55</f>
        <v>0</v>
      </c>
      <c r="AY55" s="32" t="s">
        <v>144</v>
      </c>
      <c r="AZ55" s="32" t="s">
        <v>145</v>
      </c>
      <c r="BA55" s="12" t="s">
        <v>60</v>
      </c>
      <c r="BC55" s="31">
        <f>AW55+AX55</f>
        <v>0</v>
      </c>
      <c r="BD55" s="31">
        <f>H55/(100-BE55)*100</f>
        <v>0</v>
      </c>
      <c r="BE55" s="31">
        <v>0</v>
      </c>
      <c r="BF55" s="31">
        <f>O55</f>
        <v>5.9999999999999993E-3</v>
      </c>
      <c r="BH55" s="31">
        <f>G55*AO55</f>
        <v>0</v>
      </c>
      <c r="BI55" s="31">
        <f>G55*AP55</f>
        <v>0</v>
      </c>
      <c r="BJ55" s="31">
        <f>G55*H55</f>
        <v>0</v>
      </c>
      <c r="BK55" s="31"/>
      <c r="BL55" s="31">
        <v>21</v>
      </c>
      <c r="BW55" s="31" t="str">
        <f>I55</f>
        <v>21</v>
      </c>
      <c r="BX55" s="4" t="s">
        <v>160</v>
      </c>
    </row>
    <row r="56" spans="1:76" ht="14.35" x14ac:dyDescent="0.5">
      <c r="A56" s="38" t="s">
        <v>49</v>
      </c>
      <c r="B56" s="39" t="s">
        <v>49</v>
      </c>
      <c r="C56" s="39" t="s">
        <v>161</v>
      </c>
      <c r="D56" s="126" t="s">
        <v>162</v>
      </c>
      <c r="E56" s="127"/>
      <c r="F56" s="40" t="s">
        <v>3</v>
      </c>
      <c r="G56" s="40" t="s">
        <v>3</v>
      </c>
      <c r="H56" s="40" t="s">
        <v>3</v>
      </c>
      <c r="I56" s="40" t="s">
        <v>3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2" t="s">
        <v>49</v>
      </c>
      <c r="O56" s="1">
        <f>SUM(O57:O57)</f>
        <v>9.1400960000000016</v>
      </c>
      <c r="P56" s="41" t="s">
        <v>49</v>
      </c>
      <c r="AI56" s="12" t="s">
        <v>49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ht="14.35" x14ac:dyDescent="0.5">
      <c r="A57" s="2" t="s">
        <v>163</v>
      </c>
      <c r="B57" s="3" t="s">
        <v>49</v>
      </c>
      <c r="C57" s="3" t="s">
        <v>164</v>
      </c>
      <c r="D57" s="72" t="s">
        <v>165</v>
      </c>
      <c r="E57" s="73"/>
      <c r="F57" s="3" t="s">
        <v>55</v>
      </c>
      <c r="G57" s="31">
        <v>4.4800000000000004</v>
      </c>
      <c r="H57" s="71"/>
      <c r="I57" s="32" t="s">
        <v>56</v>
      </c>
      <c r="J57" s="31">
        <f>G57*AO57</f>
        <v>0</v>
      </c>
      <c r="K57" s="31">
        <f>G57*AP57</f>
        <v>0</v>
      </c>
      <c r="L57" s="31">
        <f>G57*H57</f>
        <v>0</v>
      </c>
      <c r="M57" s="31">
        <f>L57*(1+BW57/100)</f>
        <v>0</v>
      </c>
      <c r="N57" s="31">
        <v>2.0402</v>
      </c>
      <c r="O57" s="31">
        <f>G57*N57</f>
        <v>9.1400960000000016</v>
      </c>
      <c r="P57" s="33" t="s">
        <v>57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49</v>
      </c>
      <c r="AJ57" s="31">
        <f>IF(AN57=0,L57,0)</f>
        <v>0</v>
      </c>
      <c r="AK57" s="31">
        <f>IF(AN57=12,L57,0)</f>
        <v>0</v>
      </c>
      <c r="AL57" s="31">
        <f>IF(AN57=21,L57,0)</f>
        <v>0</v>
      </c>
      <c r="AN57" s="31">
        <v>21</v>
      </c>
      <c r="AO57" s="31">
        <f>H57*0.680809233</f>
        <v>0</v>
      </c>
      <c r="AP57" s="31">
        <f>H57*(1-0.680809233)</f>
        <v>0</v>
      </c>
      <c r="AQ57" s="32" t="s">
        <v>52</v>
      </c>
      <c r="AV57" s="31">
        <f>AW57+AX57</f>
        <v>0</v>
      </c>
      <c r="AW57" s="31">
        <f>G57*AO57</f>
        <v>0</v>
      </c>
      <c r="AX57" s="31">
        <f>G57*AP57</f>
        <v>0</v>
      </c>
      <c r="AY57" s="32" t="s">
        <v>166</v>
      </c>
      <c r="AZ57" s="32" t="s">
        <v>145</v>
      </c>
      <c r="BA57" s="12" t="s">
        <v>60</v>
      </c>
      <c r="BC57" s="31">
        <f>AW57+AX57</f>
        <v>0</v>
      </c>
      <c r="BD57" s="31">
        <f>H57/(100-BE57)*100</f>
        <v>0</v>
      </c>
      <c r="BE57" s="31">
        <v>0</v>
      </c>
      <c r="BF57" s="31">
        <f>O57</f>
        <v>9.1400960000000016</v>
      </c>
      <c r="BH57" s="31">
        <f>G57*AO57</f>
        <v>0</v>
      </c>
      <c r="BI57" s="31">
        <f>G57*AP57</f>
        <v>0</v>
      </c>
      <c r="BJ57" s="31">
        <f>G57*H57</f>
        <v>0</v>
      </c>
      <c r="BK57" s="31"/>
      <c r="BL57" s="31">
        <v>27</v>
      </c>
      <c r="BW57" s="31" t="str">
        <f>I57</f>
        <v>21</v>
      </c>
      <c r="BX57" s="4" t="s">
        <v>165</v>
      </c>
    </row>
    <row r="58" spans="1:76" ht="14.35" x14ac:dyDescent="0.5">
      <c r="A58" s="34"/>
      <c r="D58" s="35" t="s">
        <v>73</v>
      </c>
      <c r="E58" s="35" t="s">
        <v>167</v>
      </c>
      <c r="G58" s="36">
        <v>4.4800000000000004</v>
      </c>
      <c r="P58" s="37"/>
    </row>
    <row r="59" spans="1:76" ht="14.35" x14ac:dyDescent="0.5">
      <c r="A59" s="38" t="s">
        <v>49</v>
      </c>
      <c r="B59" s="39" t="s">
        <v>49</v>
      </c>
      <c r="C59" s="39" t="s">
        <v>168</v>
      </c>
      <c r="D59" s="126" t="s">
        <v>169</v>
      </c>
      <c r="E59" s="127"/>
      <c r="F59" s="40" t="s">
        <v>3</v>
      </c>
      <c r="G59" s="40" t="s">
        <v>3</v>
      </c>
      <c r="H59" s="40" t="s">
        <v>3</v>
      </c>
      <c r="I59" s="40" t="s">
        <v>3</v>
      </c>
      <c r="J59" s="1">
        <f>SUM(J60:J65)</f>
        <v>0</v>
      </c>
      <c r="K59" s="1">
        <f>SUM(K60:K65)</f>
        <v>0</v>
      </c>
      <c r="L59" s="1">
        <f>SUM(L60:L65)</f>
        <v>0</v>
      </c>
      <c r="M59" s="1">
        <f>SUM(M60:M65)</f>
        <v>0</v>
      </c>
      <c r="N59" s="12" t="s">
        <v>49</v>
      </c>
      <c r="O59" s="1">
        <f>SUM(O60:O65)</f>
        <v>2.4301251000000001</v>
      </c>
      <c r="P59" s="41" t="s">
        <v>49</v>
      </c>
      <c r="AI59" s="12" t="s">
        <v>49</v>
      </c>
      <c r="AS59" s="1">
        <f>SUM(AJ60:AJ65)</f>
        <v>0</v>
      </c>
      <c r="AT59" s="1">
        <f>SUM(AK60:AK65)</f>
        <v>0</v>
      </c>
      <c r="AU59" s="1">
        <f>SUM(AL60:AL65)</f>
        <v>0</v>
      </c>
    </row>
    <row r="60" spans="1:76" ht="14.35" x14ac:dyDescent="0.5">
      <c r="A60" s="2" t="s">
        <v>170</v>
      </c>
      <c r="B60" s="3" t="s">
        <v>49</v>
      </c>
      <c r="C60" s="3" t="s">
        <v>171</v>
      </c>
      <c r="D60" s="72" t="s">
        <v>172</v>
      </c>
      <c r="E60" s="73"/>
      <c r="F60" s="3" t="s">
        <v>125</v>
      </c>
      <c r="G60" s="31">
        <v>0.71</v>
      </c>
      <c r="H60" s="71"/>
      <c r="I60" s="32" t="s">
        <v>56</v>
      </c>
      <c r="J60" s="31">
        <f>G60*AO60</f>
        <v>0</v>
      </c>
      <c r="K60" s="31">
        <f>G60*AP60</f>
        <v>0</v>
      </c>
      <c r="L60" s="31">
        <f>G60*H60</f>
        <v>0</v>
      </c>
      <c r="M60" s="31">
        <f>L60*(1+BW60/100)</f>
        <v>0</v>
      </c>
      <c r="N60" s="31">
        <v>4.0189999999999997E-2</v>
      </c>
      <c r="O60" s="31">
        <f>G60*N60</f>
        <v>2.8534899999999995E-2</v>
      </c>
      <c r="P60" s="33" t="s">
        <v>57</v>
      </c>
      <c r="Z60" s="31">
        <f>IF(AQ60="5",BJ60,0)</f>
        <v>0</v>
      </c>
      <c r="AB60" s="31">
        <f>IF(AQ60="1",BH60,0)</f>
        <v>0</v>
      </c>
      <c r="AC60" s="31">
        <f>IF(AQ60="1",BI60,0)</f>
        <v>0</v>
      </c>
      <c r="AD60" s="31">
        <f>IF(AQ60="7",BH60,0)</f>
        <v>0</v>
      </c>
      <c r="AE60" s="31">
        <f>IF(AQ60="7",BI60,0)</f>
        <v>0</v>
      </c>
      <c r="AF60" s="31">
        <f>IF(AQ60="2",BH60,0)</f>
        <v>0</v>
      </c>
      <c r="AG60" s="31">
        <f>IF(AQ60="2",BI60,0)</f>
        <v>0</v>
      </c>
      <c r="AH60" s="31">
        <f>IF(AQ60="0",BJ60,0)</f>
        <v>0</v>
      </c>
      <c r="AI60" s="12" t="s">
        <v>49</v>
      </c>
      <c r="AJ60" s="31">
        <f>IF(AN60=0,L60,0)</f>
        <v>0</v>
      </c>
      <c r="AK60" s="31">
        <f>IF(AN60=12,L60,0)</f>
        <v>0</v>
      </c>
      <c r="AL60" s="31">
        <f>IF(AN60=21,L60,0)</f>
        <v>0</v>
      </c>
      <c r="AN60" s="31">
        <v>21</v>
      </c>
      <c r="AO60" s="31">
        <f>H60*0.011509025</f>
        <v>0</v>
      </c>
      <c r="AP60" s="31">
        <f>H60*(1-0.011509025)</f>
        <v>0</v>
      </c>
      <c r="AQ60" s="32" t="s">
        <v>52</v>
      </c>
      <c r="AV60" s="31">
        <f>AW60+AX60</f>
        <v>0</v>
      </c>
      <c r="AW60" s="31">
        <f>G60*AO60</f>
        <v>0</v>
      </c>
      <c r="AX60" s="31">
        <f>G60*AP60</f>
        <v>0</v>
      </c>
      <c r="AY60" s="32" t="s">
        <v>173</v>
      </c>
      <c r="AZ60" s="32" t="s">
        <v>145</v>
      </c>
      <c r="BA60" s="12" t="s">
        <v>60</v>
      </c>
      <c r="BC60" s="31">
        <f>AW60+AX60</f>
        <v>0</v>
      </c>
      <c r="BD60" s="31">
        <f>H60/(100-BE60)*100</f>
        <v>0</v>
      </c>
      <c r="BE60" s="31">
        <v>0</v>
      </c>
      <c r="BF60" s="31">
        <f>O60</f>
        <v>2.8534899999999995E-2</v>
      </c>
      <c r="BH60" s="31">
        <f>G60*AO60</f>
        <v>0</v>
      </c>
      <c r="BI60" s="31">
        <f>G60*AP60</f>
        <v>0</v>
      </c>
      <c r="BJ60" s="31">
        <f>G60*H60</f>
        <v>0</v>
      </c>
      <c r="BK60" s="31"/>
      <c r="BL60" s="31">
        <v>28</v>
      </c>
      <c r="BW60" s="31" t="str">
        <f>I60</f>
        <v>21</v>
      </c>
      <c r="BX60" s="4" t="s">
        <v>172</v>
      </c>
    </row>
    <row r="61" spans="1:76" ht="14.35" x14ac:dyDescent="0.5">
      <c r="A61" s="34"/>
      <c r="D61" s="35" t="s">
        <v>174</v>
      </c>
      <c r="E61" s="35" t="s">
        <v>175</v>
      </c>
      <c r="G61" s="36">
        <v>0.71</v>
      </c>
      <c r="P61" s="37"/>
    </row>
    <row r="62" spans="1:76" ht="14.35" x14ac:dyDescent="0.5">
      <c r="A62" s="2" t="s">
        <v>176</v>
      </c>
      <c r="B62" s="3" t="s">
        <v>49</v>
      </c>
      <c r="C62" s="3" t="s">
        <v>177</v>
      </c>
      <c r="D62" s="72" t="s">
        <v>178</v>
      </c>
      <c r="E62" s="73"/>
      <c r="F62" s="3" t="s">
        <v>179</v>
      </c>
      <c r="G62" s="31">
        <v>13</v>
      </c>
      <c r="H62" s="71"/>
      <c r="I62" s="32" t="s">
        <v>56</v>
      </c>
      <c r="J62" s="31">
        <f>G62*AO62</f>
        <v>0</v>
      </c>
      <c r="K62" s="31">
        <f>G62*AP62</f>
        <v>0</v>
      </c>
      <c r="L62" s="31">
        <f>G62*H62</f>
        <v>0</v>
      </c>
      <c r="M62" s="31">
        <f>L62*(1+BW62/100)</f>
        <v>0</v>
      </c>
      <c r="N62" s="31">
        <v>4.4000000000000003E-3</v>
      </c>
      <c r="O62" s="31">
        <f>G62*N62</f>
        <v>5.7200000000000001E-2</v>
      </c>
      <c r="P62" s="33" t="s">
        <v>57</v>
      </c>
      <c r="Z62" s="31">
        <f>IF(AQ62="5",BJ62,0)</f>
        <v>0</v>
      </c>
      <c r="AB62" s="31">
        <f>IF(AQ62="1",BH62,0)</f>
        <v>0</v>
      </c>
      <c r="AC62" s="31">
        <f>IF(AQ62="1",BI62,0)</f>
        <v>0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12" t="s">
        <v>49</v>
      </c>
      <c r="AJ62" s="31">
        <f>IF(AN62=0,L62,0)</f>
        <v>0</v>
      </c>
      <c r="AK62" s="31">
        <f>IF(AN62=12,L62,0)</f>
        <v>0</v>
      </c>
      <c r="AL62" s="31">
        <f>IF(AN62=21,L62,0)</f>
        <v>0</v>
      </c>
      <c r="AN62" s="31">
        <v>21</v>
      </c>
      <c r="AO62" s="31">
        <f>H62*0.076088724</f>
        <v>0</v>
      </c>
      <c r="AP62" s="31">
        <f>H62*(1-0.076088724)</f>
        <v>0</v>
      </c>
      <c r="AQ62" s="32" t="s">
        <v>52</v>
      </c>
      <c r="AV62" s="31">
        <f>AW62+AX62</f>
        <v>0</v>
      </c>
      <c r="AW62" s="31">
        <f>G62*AO62</f>
        <v>0</v>
      </c>
      <c r="AX62" s="31">
        <f>G62*AP62</f>
        <v>0</v>
      </c>
      <c r="AY62" s="32" t="s">
        <v>173</v>
      </c>
      <c r="AZ62" s="32" t="s">
        <v>145</v>
      </c>
      <c r="BA62" s="12" t="s">
        <v>60</v>
      </c>
      <c r="BC62" s="31">
        <f>AW62+AX62</f>
        <v>0</v>
      </c>
      <c r="BD62" s="31">
        <f>H62/(100-BE62)*100</f>
        <v>0</v>
      </c>
      <c r="BE62" s="31">
        <v>0</v>
      </c>
      <c r="BF62" s="31">
        <f>O62</f>
        <v>5.7200000000000001E-2</v>
      </c>
      <c r="BH62" s="31">
        <f>G62*AO62</f>
        <v>0</v>
      </c>
      <c r="BI62" s="31">
        <f>G62*AP62</f>
        <v>0</v>
      </c>
      <c r="BJ62" s="31">
        <f>G62*H62</f>
        <v>0</v>
      </c>
      <c r="BK62" s="31"/>
      <c r="BL62" s="31">
        <v>28</v>
      </c>
      <c r="BW62" s="31" t="str">
        <f>I62</f>
        <v>21</v>
      </c>
      <c r="BX62" s="4" t="s">
        <v>178</v>
      </c>
    </row>
    <row r="63" spans="1:76" ht="14.35" x14ac:dyDescent="0.5">
      <c r="A63" s="2" t="s">
        <v>180</v>
      </c>
      <c r="B63" s="3" t="s">
        <v>49</v>
      </c>
      <c r="C63" s="3" t="s">
        <v>181</v>
      </c>
      <c r="D63" s="72" t="s">
        <v>182</v>
      </c>
      <c r="E63" s="73"/>
      <c r="F63" s="3" t="s">
        <v>131</v>
      </c>
      <c r="G63" s="31">
        <v>42.39</v>
      </c>
      <c r="H63" s="71"/>
      <c r="I63" s="32" t="s">
        <v>56</v>
      </c>
      <c r="J63" s="31">
        <f>G63*AO63</f>
        <v>0</v>
      </c>
      <c r="K63" s="31">
        <f>G63*AP63</f>
        <v>0</v>
      </c>
      <c r="L63" s="31">
        <f>G63*H63</f>
        <v>0</v>
      </c>
      <c r="M63" s="31">
        <f>L63*(1+BW63/100)</f>
        <v>0</v>
      </c>
      <c r="N63" s="31">
        <v>1.1800000000000001E-3</v>
      </c>
      <c r="O63" s="31">
        <f>G63*N63</f>
        <v>5.0020200000000001E-2</v>
      </c>
      <c r="P63" s="33" t="s">
        <v>57</v>
      </c>
      <c r="Z63" s="31">
        <f>IF(AQ63="5",BJ63,0)</f>
        <v>0</v>
      </c>
      <c r="AB63" s="31">
        <f>IF(AQ63="1",BH63,0)</f>
        <v>0</v>
      </c>
      <c r="AC63" s="31">
        <f>IF(AQ63="1",BI63,0)</f>
        <v>0</v>
      </c>
      <c r="AD63" s="31">
        <f>IF(AQ63="7",BH63,0)</f>
        <v>0</v>
      </c>
      <c r="AE63" s="31">
        <f>IF(AQ63="7",BI63,0)</f>
        <v>0</v>
      </c>
      <c r="AF63" s="31">
        <f>IF(AQ63="2",BH63,0)</f>
        <v>0</v>
      </c>
      <c r="AG63" s="31">
        <f>IF(AQ63="2",BI63,0)</f>
        <v>0</v>
      </c>
      <c r="AH63" s="31">
        <f>IF(AQ63="0",BJ63,0)</f>
        <v>0</v>
      </c>
      <c r="AI63" s="12" t="s">
        <v>49</v>
      </c>
      <c r="AJ63" s="31">
        <f>IF(AN63=0,L63,0)</f>
        <v>0</v>
      </c>
      <c r="AK63" s="31">
        <f>IF(AN63=12,L63,0)</f>
        <v>0</v>
      </c>
      <c r="AL63" s="31">
        <f>IF(AN63=21,L63,0)</f>
        <v>0</v>
      </c>
      <c r="AN63" s="31">
        <v>21</v>
      </c>
      <c r="AO63" s="31">
        <f>H63*0.232841126</f>
        <v>0</v>
      </c>
      <c r="AP63" s="31">
        <f>H63*(1-0.232841126)</f>
        <v>0</v>
      </c>
      <c r="AQ63" s="32" t="s">
        <v>52</v>
      </c>
      <c r="AV63" s="31">
        <f>AW63+AX63</f>
        <v>0</v>
      </c>
      <c r="AW63" s="31">
        <f>G63*AO63</f>
        <v>0</v>
      </c>
      <c r="AX63" s="31">
        <f>G63*AP63</f>
        <v>0</v>
      </c>
      <c r="AY63" s="32" t="s">
        <v>173</v>
      </c>
      <c r="AZ63" s="32" t="s">
        <v>145</v>
      </c>
      <c r="BA63" s="12" t="s">
        <v>60</v>
      </c>
      <c r="BC63" s="31">
        <f>AW63+AX63</f>
        <v>0</v>
      </c>
      <c r="BD63" s="31">
        <f>H63/(100-BE63)*100</f>
        <v>0</v>
      </c>
      <c r="BE63" s="31">
        <v>0</v>
      </c>
      <c r="BF63" s="31">
        <f>O63</f>
        <v>5.0020200000000001E-2</v>
      </c>
      <c r="BH63" s="31">
        <f>G63*AO63</f>
        <v>0</v>
      </c>
      <c r="BI63" s="31">
        <f>G63*AP63</f>
        <v>0</v>
      </c>
      <c r="BJ63" s="31">
        <f>G63*H63</f>
        <v>0</v>
      </c>
      <c r="BK63" s="31"/>
      <c r="BL63" s="31">
        <v>28</v>
      </c>
      <c r="BW63" s="31" t="str">
        <f>I63</f>
        <v>21</v>
      </c>
      <c r="BX63" s="4" t="s">
        <v>182</v>
      </c>
    </row>
    <row r="64" spans="1:76" ht="14.35" x14ac:dyDescent="0.5">
      <c r="A64" s="34"/>
      <c r="D64" s="35" t="s">
        <v>183</v>
      </c>
      <c r="E64" s="35" t="s">
        <v>49</v>
      </c>
      <c r="G64" s="36">
        <v>42.39</v>
      </c>
      <c r="P64" s="37"/>
    </row>
    <row r="65" spans="1:76" ht="14.35" x14ac:dyDescent="0.5">
      <c r="A65" s="2" t="s">
        <v>184</v>
      </c>
      <c r="B65" s="3" t="s">
        <v>49</v>
      </c>
      <c r="C65" s="3" t="s">
        <v>185</v>
      </c>
      <c r="D65" s="72" t="s">
        <v>186</v>
      </c>
      <c r="E65" s="73"/>
      <c r="F65" s="3" t="s">
        <v>150</v>
      </c>
      <c r="G65" s="31">
        <v>53</v>
      </c>
      <c r="H65" s="71"/>
      <c r="I65" s="32" t="s">
        <v>56</v>
      </c>
      <c r="J65" s="31">
        <f>G65*AO65</f>
        <v>0</v>
      </c>
      <c r="K65" s="31">
        <f>G65*AP65</f>
        <v>0</v>
      </c>
      <c r="L65" s="31">
        <f>G65*H65</f>
        <v>0</v>
      </c>
      <c r="M65" s="31">
        <f>L65*(1+BW65/100)</f>
        <v>0</v>
      </c>
      <c r="N65" s="31">
        <v>4.3290000000000002E-2</v>
      </c>
      <c r="O65" s="31">
        <f>G65*N65</f>
        <v>2.2943700000000002</v>
      </c>
      <c r="P65" s="33" t="s">
        <v>57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49</v>
      </c>
      <c r="AJ65" s="31">
        <f>IF(AN65=0,L65,0)</f>
        <v>0</v>
      </c>
      <c r="AK65" s="31">
        <f>IF(AN65=12,L65,0)</f>
        <v>0</v>
      </c>
      <c r="AL65" s="31">
        <f>IF(AN65=21,L65,0)</f>
        <v>0</v>
      </c>
      <c r="AN65" s="31">
        <v>21</v>
      </c>
      <c r="AO65" s="31">
        <f>H65*0.637584081</f>
        <v>0</v>
      </c>
      <c r="AP65" s="31">
        <f>H65*(1-0.637584081)</f>
        <v>0</v>
      </c>
      <c r="AQ65" s="32" t="s">
        <v>52</v>
      </c>
      <c r="AV65" s="31">
        <f>AW65+AX65</f>
        <v>0</v>
      </c>
      <c r="AW65" s="31">
        <f>G65*AO65</f>
        <v>0</v>
      </c>
      <c r="AX65" s="31">
        <f>G65*AP65</f>
        <v>0</v>
      </c>
      <c r="AY65" s="32" t="s">
        <v>173</v>
      </c>
      <c r="AZ65" s="32" t="s">
        <v>145</v>
      </c>
      <c r="BA65" s="12" t="s">
        <v>60</v>
      </c>
      <c r="BC65" s="31">
        <f>AW65+AX65</f>
        <v>0</v>
      </c>
      <c r="BD65" s="31">
        <f>H65/(100-BE65)*100</f>
        <v>0</v>
      </c>
      <c r="BE65" s="31">
        <v>0</v>
      </c>
      <c r="BF65" s="31">
        <f>O65</f>
        <v>2.2943700000000002</v>
      </c>
      <c r="BH65" s="31">
        <f>G65*AO65</f>
        <v>0</v>
      </c>
      <c r="BI65" s="31">
        <f>G65*AP65</f>
        <v>0</v>
      </c>
      <c r="BJ65" s="31">
        <f>G65*H65</f>
        <v>0</v>
      </c>
      <c r="BK65" s="31"/>
      <c r="BL65" s="31">
        <v>28</v>
      </c>
      <c r="BW65" s="31" t="str">
        <f>I65</f>
        <v>21</v>
      </c>
      <c r="BX65" s="4" t="s">
        <v>186</v>
      </c>
    </row>
    <row r="66" spans="1:76" ht="14.35" x14ac:dyDescent="0.5">
      <c r="A66" s="34"/>
      <c r="D66" s="35" t="s">
        <v>187</v>
      </c>
      <c r="E66" s="35" t="s">
        <v>49</v>
      </c>
      <c r="G66" s="36">
        <v>53</v>
      </c>
      <c r="P66" s="37"/>
    </row>
    <row r="67" spans="1:76" ht="14.35" x14ac:dyDescent="0.5">
      <c r="A67" s="38" t="s">
        <v>49</v>
      </c>
      <c r="B67" s="39" t="s">
        <v>49</v>
      </c>
      <c r="C67" s="39" t="s">
        <v>188</v>
      </c>
      <c r="D67" s="126" t="s">
        <v>189</v>
      </c>
      <c r="E67" s="127"/>
      <c r="F67" s="40" t="s">
        <v>3</v>
      </c>
      <c r="G67" s="40" t="s">
        <v>3</v>
      </c>
      <c r="H67" s="40" t="s">
        <v>3</v>
      </c>
      <c r="I67" s="40" t="s">
        <v>3</v>
      </c>
      <c r="J67" s="1">
        <f>SUM(J68:J94)</f>
        <v>0</v>
      </c>
      <c r="K67" s="1">
        <f>SUM(K68:K94)</f>
        <v>0</v>
      </c>
      <c r="L67" s="1">
        <f>SUM(L68:L94)</f>
        <v>0</v>
      </c>
      <c r="M67" s="1">
        <f>SUM(M68:M94)</f>
        <v>0</v>
      </c>
      <c r="N67" s="12" t="s">
        <v>49</v>
      </c>
      <c r="O67" s="1">
        <f>SUM(O68:O94)</f>
        <v>296.18693000000002</v>
      </c>
      <c r="P67" s="41" t="s">
        <v>49</v>
      </c>
      <c r="AI67" s="12" t="s">
        <v>49</v>
      </c>
      <c r="AS67" s="1">
        <f>SUM(AJ68:AJ94)</f>
        <v>0</v>
      </c>
      <c r="AT67" s="1">
        <f>SUM(AK68:AK94)</f>
        <v>0</v>
      </c>
      <c r="AU67" s="1">
        <f>SUM(AL68:AL94)</f>
        <v>0</v>
      </c>
    </row>
    <row r="68" spans="1:76" ht="14.35" x14ac:dyDescent="0.5">
      <c r="A68" s="2" t="s">
        <v>161</v>
      </c>
      <c r="B68" s="3" t="s">
        <v>49</v>
      </c>
      <c r="C68" s="3" t="s">
        <v>190</v>
      </c>
      <c r="D68" s="72" t="s">
        <v>191</v>
      </c>
      <c r="E68" s="73"/>
      <c r="F68" s="3" t="s">
        <v>55</v>
      </c>
      <c r="G68" s="31">
        <v>83.98</v>
      </c>
      <c r="H68" s="71"/>
      <c r="I68" s="32" t="s">
        <v>56</v>
      </c>
      <c r="J68" s="31">
        <f>G68*AO68</f>
        <v>0</v>
      </c>
      <c r="K68" s="31">
        <f>G68*AP68</f>
        <v>0</v>
      </c>
      <c r="L68" s="31">
        <f>G68*H68</f>
        <v>0</v>
      </c>
      <c r="M68" s="31">
        <f>L68*(1+BW68/100)</f>
        <v>0</v>
      </c>
      <c r="N68" s="31">
        <v>1.79484</v>
      </c>
      <c r="O68" s="31">
        <f>G68*N68</f>
        <v>150.73066320000001</v>
      </c>
      <c r="P68" s="33" t="s">
        <v>57</v>
      </c>
      <c r="Z68" s="31">
        <f>IF(AQ68="5",BJ68,0)</f>
        <v>0</v>
      </c>
      <c r="AB68" s="31">
        <f>IF(AQ68="1",BH68,0)</f>
        <v>0</v>
      </c>
      <c r="AC68" s="31">
        <f>IF(AQ68="1",BI68,0)</f>
        <v>0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12" t="s">
        <v>49</v>
      </c>
      <c r="AJ68" s="31">
        <f>IF(AN68=0,L68,0)</f>
        <v>0</v>
      </c>
      <c r="AK68" s="31">
        <f>IF(AN68=12,L68,0)</f>
        <v>0</v>
      </c>
      <c r="AL68" s="31">
        <f>IF(AN68=21,L68,0)</f>
        <v>0</v>
      </c>
      <c r="AN68" s="31">
        <v>21</v>
      </c>
      <c r="AO68" s="31">
        <f>H68*0.679274725</f>
        <v>0</v>
      </c>
      <c r="AP68" s="31">
        <f>H68*(1-0.679274725)</f>
        <v>0</v>
      </c>
      <c r="AQ68" s="32" t="s">
        <v>52</v>
      </c>
      <c r="AV68" s="31">
        <f>AW68+AX68</f>
        <v>0</v>
      </c>
      <c r="AW68" s="31">
        <f>G68*AO68</f>
        <v>0</v>
      </c>
      <c r="AX68" s="31">
        <f>G68*AP68</f>
        <v>0</v>
      </c>
      <c r="AY68" s="32" t="s">
        <v>192</v>
      </c>
      <c r="AZ68" s="32" t="s">
        <v>193</v>
      </c>
      <c r="BA68" s="12" t="s">
        <v>60</v>
      </c>
      <c r="BC68" s="31">
        <f>AW68+AX68</f>
        <v>0</v>
      </c>
      <c r="BD68" s="31">
        <f>H68/(100-BE68)*100</f>
        <v>0</v>
      </c>
      <c r="BE68" s="31">
        <v>0</v>
      </c>
      <c r="BF68" s="31">
        <f>O68</f>
        <v>150.73066320000001</v>
      </c>
      <c r="BH68" s="31">
        <f>G68*AO68</f>
        <v>0</v>
      </c>
      <c r="BI68" s="31">
        <f>G68*AP68</f>
        <v>0</v>
      </c>
      <c r="BJ68" s="31">
        <f>G68*H68</f>
        <v>0</v>
      </c>
      <c r="BK68" s="31"/>
      <c r="BL68" s="31">
        <v>31</v>
      </c>
      <c r="BW68" s="31" t="str">
        <f>I68</f>
        <v>21</v>
      </c>
      <c r="BX68" s="4" t="s">
        <v>191</v>
      </c>
    </row>
    <row r="69" spans="1:76" ht="14.35" x14ac:dyDescent="0.5">
      <c r="A69" s="34"/>
      <c r="D69" s="35" t="s">
        <v>194</v>
      </c>
      <c r="E69" s="35" t="s">
        <v>195</v>
      </c>
      <c r="G69" s="36">
        <v>54.91</v>
      </c>
      <c r="P69" s="37"/>
    </row>
    <row r="70" spans="1:76" ht="14.35" x14ac:dyDescent="0.5">
      <c r="A70" s="34"/>
      <c r="D70" s="35" t="s">
        <v>196</v>
      </c>
      <c r="E70" s="35" t="s">
        <v>197</v>
      </c>
      <c r="G70" s="36">
        <v>2.0699999999999998</v>
      </c>
      <c r="P70" s="37"/>
    </row>
    <row r="71" spans="1:76" ht="14.35" x14ac:dyDescent="0.5">
      <c r="A71" s="34"/>
      <c r="D71" s="35" t="s">
        <v>198</v>
      </c>
      <c r="E71" s="35" t="s">
        <v>199</v>
      </c>
      <c r="G71" s="36">
        <v>27</v>
      </c>
      <c r="P71" s="37"/>
    </row>
    <row r="72" spans="1:76" ht="14.35" x14ac:dyDescent="0.5">
      <c r="A72" s="2" t="s">
        <v>168</v>
      </c>
      <c r="B72" s="3" t="s">
        <v>49</v>
      </c>
      <c r="C72" s="3" t="s">
        <v>200</v>
      </c>
      <c r="D72" s="72" t="s">
        <v>201</v>
      </c>
      <c r="E72" s="73"/>
      <c r="F72" s="3" t="s">
        <v>179</v>
      </c>
      <c r="G72" s="31">
        <v>4</v>
      </c>
      <c r="H72" s="71"/>
      <c r="I72" s="32" t="s">
        <v>56</v>
      </c>
      <c r="J72" s="31">
        <f>G72*AO72</f>
        <v>0</v>
      </c>
      <c r="K72" s="31">
        <f>G72*AP72</f>
        <v>0</v>
      </c>
      <c r="L72" s="31">
        <f>G72*H72</f>
        <v>0</v>
      </c>
      <c r="M72" s="31">
        <f>L72*(1+BW72/100)</f>
        <v>0</v>
      </c>
      <c r="N72" s="31">
        <v>5.1499999999999997E-2</v>
      </c>
      <c r="O72" s="31">
        <f>G72*N72</f>
        <v>0.20599999999999999</v>
      </c>
      <c r="P72" s="33" t="s">
        <v>57</v>
      </c>
      <c r="Z72" s="31">
        <f>IF(AQ72="5",BJ72,0)</f>
        <v>0</v>
      </c>
      <c r="AB72" s="31">
        <f>IF(AQ72="1",BH72,0)</f>
        <v>0</v>
      </c>
      <c r="AC72" s="31">
        <f>IF(AQ72="1",BI72,0)</f>
        <v>0</v>
      </c>
      <c r="AD72" s="31">
        <f>IF(AQ72="7",BH72,0)</f>
        <v>0</v>
      </c>
      <c r="AE72" s="31">
        <f>IF(AQ72="7",BI72,0)</f>
        <v>0</v>
      </c>
      <c r="AF72" s="31">
        <f>IF(AQ72="2",BH72,0)</f>
        <v>0</v>
      </c>
      <c r="AG72" s="31">
        <f>IF(AQ72="2",BI72,0)</f>
        <v>0</v>
      </c>
      <c r="AH72" s="31">
        <f>IF(AQ72="0",BJ72,0)</f>
        <v>0</v>
      </c>
      <c r="AI72" s="12" t="s">
        <v>49</v>
      </c>
      <c r="AJ72" s="31">
        <f>IF(AN72=0,L72,0)</f>
        <v>0</v>
      </c>
      <c r="AK72" s="31">
        <f>IF(AN72=12,L72,0)</f>
        <v>0</v>
      </c>
      <c r="AL72" s="31">
        <f>IF(AN72=21,L72,0)</f>
        <v>0</v>
      </c>
      <c r="AN72" s="31">
        <v>21</v>
      </c>
      <c r="AO72" s="31">
        <f>H72*0.536055777</f>
        <v>0</v>
      </c>
      <c r="AP72" s="31">
        <f>H72*(1-0.536055777)</f>
        <v>0</v>
      </c>
      <c r="AQ72" s="32" t="s">
        <v>52</v>
      </c>
      <c r="AV72" s="31">
        <f>AW72+AX72</f>
        <v>0</v>
      </c>
      <c r="AW72" s="31">
        <f>G72*AO72</f>
        <v>0</v>
      </c>
      <c r="AX72" s="31">
        <f>G72*AP72</f>
        <v>0</v>
      </c>
      <c r="AY72" s="32" t="s">
        <v>192</v>
      </c>
      <c r="AZ72" s="32" t="s">
        <v>193</v>
      </c>
      <c r="BA72" s="12" t="s">
        <v>60</v>
      </c>
      <c r="BC72" s="31">
        <f>AW72+AX72</f>
        <v>0</v>
      </c>
      <c r="BD72" s="31">
        <f>H72/(100-BE72)*100</f>
        <v>0</v>
      </c>
      <c r="BE72" s="31">
        <v>0</v>
      </c>
      <c r="BF72" s="31">
        <f>O72</f>
        <v>0.20599999999999999</v>
      </c>
      <c r="BH72" s="31">
        <f>G72*AO72</f>
        <v>0</v>
      </c>
      <c r="BI72" s="31">
        <f>G72*AP72</f>
        <v>0</v>
      </c>
      <c r="BJ72" s="31">
        <f>G72*H72</f>
        <v>0</v>
      </c>
      <c r="BK72" s="31"/>
      <c r="BL72" s="31">
        <v>31</v>
      </c>
      <c r="BW72" s="31" t="str">
        <f>I72</f>
        <v>21</v>
      </c>
      <c r="BX72" s="4" t="s">
        <v>201</v>
      </c>
    </row>
    <row r="73" spans="1:76" ht="14.35" x14ac:dyDescent="0.5">
      <c r="A73" s="34"/>
      <c r="D73" s="35" t="s">
        <v>77</v>
      </c>
      <c r="E73" s="35" t="s">
        <v>202</v>
      </c>
      <c r="G73" s="36">
        <v>4</v>
      </c>
      <c r="P73" s="37"/>
    </row>
    <row r="74" spans="1:76" ht="14.35" x14ac:dyDescent="0.5">
      <c r="A74" s="2" t="s">
        <v>203</v>
      </c>
      <c r="B74" s="3" t="s">
        <v>49</v>
      </c>
      <c r="C74" s="3" t="s">
        <v>204</v>
      </c>
      <c r="D74" s="72" t="s">
        <v>205</v>
      </c>
      <c r="E74" s="73"/>
      <c r="F74" s="3" t="s">
        <v>55</v>
      </c>
      <c r="G74" s="31">
        <v>39.24</v>
      </c>
      <c r="H74" s="71"/>
      <c r="I74" s="32" t="s">
        <v>56</v>
      </c>
      <c r="J74" s="31">
        <f>G74*AO74</f>
        <v>0</v>
      </c>
      <c r="K74" s="31">
        <f>G74*AP74</f>
        <v>0</v>
      </c>
      <c r="L74" s="31">
        <f>G74*H74</f>
        <v>0</v>
      </c>
      <c r="M74" s="31">
        <f>L74*(1+BW74/100)</f>
        <v>0</v>
      </c>
      <c r="N74" s="31">
        <v>2.0203199999999999</v>
      </c>
      <c r="O74" s="31">
        <f>G74*N74</f>
        <v>79.277356800000007</v>
      </c>
      <c r="P74" s="33" t="s">
        <v>57</v>
      </c>
      <c r="Z74" s="31">
        <f>IF(AQ74="5",BJ74,0)</f>
        <v>0</v>
      </c>
      <c r="AB74" s="31">
        <f>IF(AQ74="1",BH74,0)</f>
        <v>0</v>
      </c>
      <c r="AC74" s="31">
        <f>IF(AQ74="1",BI74,0)</f>
        <v>0</v>
      </c>
      <c r="AD74" s="31">
        <f>IF(AQ74="7",BH74,0)</f>
        <v>0</v>
      </c>
      <c r="AE74" s="31">
        <f>IF(AQ74="7",BI74,0)</f>
        <v>0</v>
      </c>
      <c r="AF74" s="31">
        <f>IF(AQ74="2",BH74,0)</f>
        <v>0</v>
      </c>
      <c r="AG74" s="31">
        <f>IF(AQ74="2",BI74,0)</f>
        <v>0</v>
      </c>
      <c r="AH74" s="31">
        <f>IF(AQ74="0",BJ74,0)</f>
        <v>0</v>
      </c>
      <c r="AI74" s="12" t="s">
        <v>49</v>
      </c>
      <c r="AJ74" s="31">
        <f>IF(AN74=0,L74,0)</f>
        <v>0</v>
      </c>
      <c r="AK74" s="31">
        <f>IF(AN74=12,L74,0)</f>
        <v>0</v>
      </c>
      <c r="AL74" s="31">
        <f>IF(AN74=21,L74,0)</f>
        <v>0</v>
      </c>
      <c r="AN74" s="31">
        <v>21</v>
      </c>
      <c r="AO74" s="31">
        <f>H74*0.73770637</f>
        <v>0</v>
      </c>
      <c r="AP74" s="31">
        <f>H74*(1-0.73770637)</f>
        <v>0</v>
      </c>
      <c r="AQ74" s="32" t="s">
        <v>52</v>
      </c>
      <c r="AV74" s="31">
        <f>AW74+AX74</f>
        <v>0</v>
      </c>
      <c r="AW74" s="31">
        <f>G74*AO74</f>
        <v>0</v>
      </c>
      <c r="AX74" s="31">
        <f>G74*AP74</f>
        <v>0</v>
      </c>
      <c r="AY74" s="32" t="s">
        <v>192</v>
      </c>
      <c r="AZ74" s="32" t="s">
        <v>193</v>
      </c>
      <c r="BA74" s="12" t="s">
        <v>60</v>
      </c>
      <c r="BC74" s="31">
        <f>AW74+AX74</f>
        <v>0</v>
      </c>
      <c r="BD74" s="31">
        <f>H74/(100-BE74)*100</f>
        <v>0</v>
      </c>
      <c r="BE74" s="31">
        <v>0</v>
      </c>
      <c r="BF74" s="31">
        <f>O74</f>
        <v>79.277356800000007</v>
      </c>
      <c r="BH74" s="31">
        <f>G74*AO74</f>
        <v>0</v>
      </c>
      <c r="BI74" s="31">
        <f>G74*AP74</f>
        <v>0</v>
      </c>
      <c r="BJ74" s="31">
        <f>G74*H74</f>
        <v>0</v>
      </c>
      <c r="BK74" s="31"/>
      <c r="BL74" s="31">
        <v>31</v>
      </c>
      <c r="BW74" s="31" t="str">
        <f>I74</f>
        <v>21</v>
      </c>
      <c r="BX74" s="4" t="s">
        <v>205</v>
      </c>
    </row>
    <row r="75" spans="1:76" ht="14.35" x14ac:dyDescent="0.5">
      <c r="A75" s="34"/>
      <c r="D75" s="35" t="s">
        <v>206</v>
      </c>
      <c r="E75" s="35" t="s">
        <v>207</v>
      </c>
      <c r="G75" s="36">
        <v>22.58</v>
      </c>
      <c r="P75" s="37"/>
    </row>
    <row r="76" spans="1:76" ht="14.35" x14ac:dyDescent="0.5">
      <c r="A76" s="34"/>
      <c r="D76" s="35" t="s">
        <v>208</v>
      </c>
      <c r="E76" s="35" t="s">
        <v>209</v>
      </c>
      <c r="G76" s="36">
        <v>12.46</v>
      </c>
      <c r="P76" s="37"/>
    </row>
    <row r="77" spans="1:76" ht="14.35" x14ac:dyDescent="0.5">
      <c r="A77" s="34"/>
      <c r="D77" s="35" t="s">
        <v>210</v>
      </c>
      <c r="E77" s="35" t="s">
        <v>211</v>
      </c>
      <c r="G77" s="36">
        <v>3.47</v>
      </c>
      <c r="P77" s="37"/>
    </row>
    <row r="78" spans="1:76" ht="14.35" x14ac:dyDescent="0.5">
      <c r="A78" s="34"/>
      <c r="D78" s="35" t="s">
        <v>212</v>
      </c>
      <c r="E78" s="35" t="s">
        <v>213</v>
      </c>
      <c r="G78" s="36">
        <v>0.73</v>
      </c>
      <c r="P78" s="37"/>
    </row>
    <row r="79" spans="1:76" ht="14.35" x14ac:dyDescent="0.5">
      <c r="A79" s="2" t="s">
        <v>214</v>
      </c>
      <c r="B79" s="3" t="s">
        <v>49</v>
      </c>
      <c r="C79" s="3" t="s">
        <v>215</v>
      </c>
      <c r="D79" s="72" t="s">
        <v>216</v>
      </c>
      <c r="E79" s="73"/>
      <c r="F79" s="3" t="s">
        <v>55</v>
      </c>
      <c r="G79" s="31">
        <v>0.1</v>
      </c>
      <c r="H79" s="71"/>
      <c r="I79" s="32" t="s">
        <v>56</v>
      </c>
      <c r="J79" s="31">
        <f>G79*AO79</f>
        <v>0</v>
      </c>
      <c r="K79" s="31">
        <f>G79*AP79</f>
        <v>0</v>
      </c>
      <c r="L79" s="31">
        <f>G79*H79</f>
        <v>0</v>
      </c>
      <c r="M79" s="31">
        <f>L79*(1+BW79/100)</f>
        <v>0</v>
      </c>
      <c r="N79" s="31">
        <v>1.7519800000000001</v>
      </c>
      <c r="O79" s="31">
        <f>G79*N79</f>
        <v>0.17519800000000002</v>
      </c>
      <c r="P79" s="33" t="s">
        <v>57</v>
      </c>
      <c r="Z79" s="31">
        <f>IF(AQ79="5",BJ79,0)</f>
        <v>0</v>
      </c>
      <c r="AB79" s="31">
        <f>IF(AQ79="1",BH79,0)</f>
        <v>0</v>
      </c>
      <c r="AC79" s="31">
        <f>IF(AQ79="1",BI79,0)</f>
        <v>0</v>
      </c>
      <c r="AD79" s="31">
        <f>IF(AQ79="7",BH79,0)</f>
        <v>0</v>
      </c>
      <c r="AE79" s="31">
        <f>IF(AQ79="7",BI79,0)</f>
        <v>0</v>
      </c>
      <c r="AF79" s="31">
        <f>IF(AQ79="2",BH79,0)</f>
        <v>0</v>
      </c>
      <c r="AG79" s="31">
        <f>IF(AQ79="2",BI79,0)</f>
        <v>0</v>
      </c>
      <c r="AH79" s="31">
        <f>IF(AQ79="0",BJ79,0)</f>
        <v>0</v>
      </c>
      <c r="AI79" s="12" t="s">
        <v>49</v>
      </c>
      <c r="AJ79" s="31">
        <f>IF(AN79=0,L79,0)</f>
        <v>0</v>
      </c>
      <c r="AK79" s="31">
        <f>IF(AN79=12,L79,0)</f>
        <v>0</v>
      </c>
      <c r="AL79" s="31">
        <f>IF(AN79=21,L79,0)</f>
        <v>0</v>
      </c>
      <c r="AN79" s="31">
        <v>21</v>
      </c>
      <c r="AO79" s="31">
        <f>H79*0.635345508</f>
        <v>0</v>
      </c>
      <c r="AP79" s="31">
        <f>H79*(1-0.635345508)</f>
        <v>0</v>
      </c>
      <c r="AQ79" s="32" t="s">
        <v>52</v>
      </c>
      <c r="AV79" s="31">
        <f>AW79+AX79</f>
        <v>0</v>
      </c>
      <c r="AW79" s="31">
        <f>G79*AO79</f>
        <v>0</v>
      </c>
      <c r="AX79" s="31">
        <f>G79*AP79</f>
        <v>0</v>
      </c>
      <c r="AY79" s="32" t="s">
        <v>192</v>
      </c>
      <c r="AZ79" s="32" t="s">
        <v>193</v>
      </c>
      <c r="BA79" s="12" t="s">
        <v>60</v>
      </c>
      <c r="BC79" s="31">
        <f>AW79+AX79</f>
        <v>0</v>
      </c>
      <c r="BD79" s="31">
        <f>H79/(100-BE79)*100</f>
        <v>0</v>
      </c>
      <c r="BE79" s="31">
        <v>0</v>
      </c>
      <c r="BF79" s="31">
        <f>O79</f>
        <v>0.17519800000000002</v>
      </c>
      <c r="BH79" s="31">
        <f>G79*AO79</f>
        <v>0</v>
      </c>
      <c r="BI79" s="31">
        <f>G79*AP79</f>
        <v>0</v>
      </c>
      <c r="BJ79" s="31">
        <f>G79*H79</f>
        <v>0</v>
      </c>
      <c r="BK79" s="31"/>
      <c r="BL79" s="31">
        <v>31</v>
      </c>
      <c r="BW79" s="31" t="str">
        <f>I79</f>
        <v>21</v>
      </c>
      <c r="BX79" s="4" t="s">
        <v>216</v>
      </c>
    </row>
    <row r="80" spans="1:76" ht="14.35" x14ac:dyDescent="0.5">
      <c r="A80" s="34"/>
      <c r="D80" s="35" t="s">
        <v>217</v>
      </c>
      <c r="E80" s="35" t="s">
        <v>218</v>
      </c>
      <c r="G80" s="36">
        <v>0.1</v>
      </c>
      <c r="P80" s="37"/>
    </row>
    <row r="81" spans="1:76" ht="14.35" x14ac:dyDescent="0.5">
      <c r="A81" s="2" t="s">
        <v>188</v>
      </c>
      <c r="B81" s="3" t="s">
        <v>49</v>
      </c>
      <c r="C81" s="3" t="s">
        <v>219</v>
      </c>
      <c r="D81" s="72" t="s">
        <v>220</v>
      </c>
      <c r="E81" s="73"/>
      <c r="F81" s="3" t="s">
        <v>55</v>
      </c>
      <c r="G81" s="31">
        <v>0.56000000000000005</v>
      </c>
      <c r="H81" s="71"/>
      <c r="I81" s="32" t="s">
        <v>56</v>
      </c>
      <c r="J81" s="31">
        <f>G81*AO81</f>
        <v>0</v>
      </c>
      <c r="K81" s="31">
        <f>G81*AP81</f>
        <v>0</v>
      </c>
      <c r="L81" s="31">
        <f>G81*H81</f>
        <v>0</v>
      </c>
      <c r="M81" s="31">
        <f>L81*(1+BW81/100)</f>
        <v>0</v>
      </c>
      <c r="N81" s="31">
        <v>2.1211700000000002</v>
      </c>
      <c r="O81" s="31">
        <f>G81*N81</f>
        <v>1.1878552000000002</v>
      </c>
      <c r="P81" s="33" t="s">
        <v>57</v>
      </c>
      <c r="Z81" s="31">
        <f>IF(AQ81="5",BJ81,0)</f>
        <v>0</v>
      </c>
      <c r="AB81" s="31">
        <f>IF(AQ81="1",BH81,0)</f>
        <v>0</v>
      </c>
      <c r="AC81" s="31">
        <f>IF(AQ81="1",BI81,0)</f>
        <v>0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49</v>
      </c>
      <c r="AJ81" s="31">
        <f>IF(AN81=0,L81,0)</f>
        <v>0</v>
      </c>
      <c r="AK81" s="31">
        <f>IF(AN81=12,L81,0)</f>
        <v>0</v>
      </c>
      <c r="AL81" s="31">
        <f>IF(AN81=21,L81,0)</f>
        <v>0</v>
      </c>
      <c r="AN81" s="31">
        <v>21</v>
      </c>
      <c r="AO81" s="31">
        <f>H81*0.537439922</f>
        <v>0</v>
      </c>
      <c r="AP81" s="31">
        <f>H81*(1-0.537439922)</f>
        <v>0</v>
      </c>
      <c r="AQ81" s="32" t="s">
        <v>52</v>
      </c>
      <c r="AV81" s="31">
        <f>AW81+AX81</f>
        <v>0</v>
      </c>
      <c r="AW81" s="31">
        <f>G81*AO81</f>
        <v>0</v>
      </c>
      <c r="AX81" s="31">
        <f>G81*AP81</f>
        <v>0</v>
      </c>
      <c r="AY81" s="32" t="s">
        <v>192</v>
      </c>
      <c r="AZ81" s="32" t="s">
        <v>193</v>
      </c>
      <c r="BA81" s="12" t="s">
        <v>60</v>
      </c>
      <c r="BC81" s="31">
        <f>AW81+AX81</f>
        <v>0</v>
      </c>
      <c r="BD81" s="31">
        <f>H81/(100-BE81)*100</f>
        <v>0</v>
      </c>
      <c r="BE81" s="31">
        <v>0</v>
      </c>
      <c r="BF81" s="31">
        <f>O81</f>
        <v>1.1878552000000002</v>
      </c>
      <c r="BH81" s="31">
        <f>G81*AO81</f>
        <v>0</v>
      </c>
      <c r="BI81" s="31">
        <f>G81*AP81</f>
        <v>0</v>
      </c>
      <c r="BJ81" s="31">
        <f>G81*H81</f>
        <v>0</v>
      </c>
      <c r="BK81" s="31"/>
      <c r="BL81" s="31">
        <v>31</v>
      </c>
      <c r="BW81" s="31" t="str">
        <f>I81</f>
        <v>21</v>
      </c>
      <c r="BX81" s="4" t="s">
        <v>220</v>
      </c>
    </row>
    <row r="82" spans="1:76" ht="14.35" x14ac:dyDescent="0.5">
      <c r="A82" s="34"/>
      <c r="D82" s="35" t="s">
        <v>221</v>
      </c>
      <c r="E82" s="35" t="s">
        <v>222</v>
      </c>
      <c r="G82" s="36">
        <v>0.56000000000000005</v>
      </c>
      <c r="P82" s="37"/>
    </row>
    <row r="83" spans="1:76" ht="14.35" x14ac:dyDescent="0.5">
      <c r="A83" s="2" t="s">
        <v>223</v>
      </c>
      <c r="B83" s="3" t="s">
        <v>49</v>
      </c>
      <c r="C83" s="3" t="s">
        <v>224</v>
      </c>
      <c r="D83" s="72" t="s">
        <v>225</v>
      </c>
      <c r="E83" s="73"/>
      <c r="F83" s="3" t="s">
        <v>125</v>
      </c>
      <c r="G83" s="31">
        <v>1.85</v>
      </c>
      <c r="H83" s="71"/>
      <c r="I83" s="32" t="s">
        <v>56</v>
      </c>
      <c r="J83" s="31">
        <f>G83*AO83</f>
        <v>0</v>
      </c>
      <c r="K83" s="31">
        <f>G83*AP83</f>
        <v>0</v>
      </c>
      <c r="L83" s="31">
        <f>G83*H83</f>
        <v>0</v>
      </c>
      <c r="M83" s="31">
        <f>L83*(1+BW83/100)</f>
        <v>0</v>
      </c>
      <c r="N83" s="31">
        <v>2.2360000000000001E-2</v>
      </c>
      <c r="O83" s="31">
        <f>G83*N83</f>
        <v>4.1366000000000007E-2</v>
      </c>
      <c r="P83" s="33" t="s">
        <v>57</v>
      </c>
      <c r="Z83" s="31">
        <f>IF(AQ83="5",BJ83,0)</f>
        <v>0</v>
      </c>
      <c r="AB83" s="31">
        <f>IF(AQ83="1",BH83,0)</f>
        <v>0</v>
      </c>
      <c r="AC83" s="31">
        <f>IF(AQ83="1",BI83,0)</f>
        <v>0</v>
      </c>
      <c r="AD83" s="31">
        <f>IF(AQ83="7",BH83,0)</f>
        <v>0</v>
      </c>
      <c r="AE83" s="31">
        <f>IF(AQ83="7",BI83,0)</f>
        <v>0</v>
      </c>
      <c r="AF83" s="31">
        <f>IF(AQ83="2",BH83,0)</f>
        <v>0</v>
      </c>
      <c r="AG83" s="31">
        <f>IF(AQ83="2",BI83,0)</f>
        <v>0</v>
      </c>
      <c r="AH83" s="31">
        <f>IF(AQ83="0",BJ83,0)</f>
        <v>0</v>
      </c>
      <c r="AI83" s="12" t="s">
        <v>49</v>
      </c>
      <c r="AJ83" s="31">
        <f>IF(AN83=0,L83,0)</f>
        <v>0</v>
      </c>
      <c r="AK83" s="31">
        <f>IF(AN83=12,L83,0)</f>
        <v>0</v>
      </c>
      <c r="AL83" s="31">
        <f>IF(AN83=21,L83,0)</f>
        <v>0</v>
      </c>
      <c r="AN83" s="31">
        <v>21</v>
      </c>
      <c r="AO83" s="31">
        <f>H83*0.244714739</f>
        <v>0</v>
      </c>
      <c r="AP83" s="31">
        <f>H83*(1-0.244714739)</f>
        <v>0</v>
      </c>
      <c r="AQ83" s="32" t="s">
        <v>52</v>
      </c>
      <c r="AV83" s="31">
        <f>AW83+AX83</f>
        <v>0</v>
      </c>
      <c r="AW83" s="31">
        <f>G83*AO83</f>
        <v>0</v>
      </c>
      <c r="AX83" s="31">
        <f>G83*AP83</f>
        <v>0</v>
      </c>
      <c r="AY83" s="32" t="s">
        <v>192</v>
      </c>
      <c r="AZ83" s="32" t="s">
        <v>193</v>
      </c>
      <c r="BA83" s="12" t="s">
        <v>60</v>
      </c>
      <c r="BC83" s="31">
        <f>AW83+AX83</f>
        <v>0</v>
      </c>
      <c r="BD83" s="31">
        <f>H83/(100-BE83)*100</f>
        <v>0</v>
      </c>
      <c r="BE83" s="31">
        <v>0</v>
      </c>
      <c r="BF83" s="31">
        <f>O83</f>
        <v>4.1366000000000007E-2</v>
      </c>
      <c r="BH83" s="31">
        <f>G83*AO83</f>
        <v>0</v>
      </c>
      <c r="BI83" s="31">
        <f>G83*AP83</f>
        <v>0</v>
      </c>
      <c r="BJ83" s="31">
        <f>G83*H83</f>
        <v>0</v>
      </c>
      <c r="BK83" s="31"/>
      <c r="BL83" s="31">
        <v>31</v>
      </c>
      <c r="BW83" s="31" t="str">
        <f>I83</f>
        <v>21</v>
      </c>
      <c r="BX83" s="4" t="s">
        <v>225</v>
      </c>
    </row>
    <row r="84" spans="1:76" ht="14.35" x14ac:dyDescent="0.5">
      <c r="A84" s="34"/>
      <c r="D84" s="35" t="s">
        <v>226</v>
      </c>
      <c r="E84" s="35" t="s">
        <v>222</v>
      </c>
      <c r="G84" s="36">
        <v>1.85</v>
      </c>
      <c r="P84" s="37"/>
    </row>
    <row r="85" spans="1:76" ht="14.35" x14ac:dyDescent="0.5">
      <c r="A85" s="2" t="s">
        <v>227</v>
      </c>
      <c r="B85" s="3" t="s">
        <v>49</v>
      </c>
      <c r="C85" s="3" t="s">
        <v>228</v>
      </c>
      <c r="D85" s="72" t="s">
        <v>229</v>
      </c>
      <c r="E85" s="73"/>
      <c r="F85" s="3" t="s">
        <v>125</v>
      </c>
      <c r="G85" s="31">
        <v>1.85</v>
      </c>
      <c r="H85" s="71"/>
      <c r="I85" s="32" t="s">
        <v>56</v>
      </c>
      <c r="J85" s="31">
        <f>G85*AO85</f>
        <v>0</v>
      </c>
      <c r="K85" s="31">
        <f>G85*AP85</f>
        <v>0</v>
      </c>
      <c r="L85" s="31">
        <f>G85*H85</f>
        <v>0</v>
      </c>
      <c r="M85" s="31">
        <f>L85*(1+BW85/100)</f>
        <v>0</v>
      </c>
      <c r="N85" s="31">
        <v>0</v>
      </c>
      <c r="O85" s="31">
        <f>G85*N85</f>
        <v>0</v>
      </c>
      <c r="P85" s="33" t="s">
        <v>57</v>
      </c>
      <c r="Z85" s="31">
        <f>IF(AQ85="5",BJ85,0)</f>
        <v>0</v>
      </c>
      <c r="AB85" s="31">
        <f>IF(AQ85="1",BH85,0)</f>
        <v>0</v>
      </c>
      <c r="AC85" s="31">
        <f>IF(AQ85="1",BI85,0)</f>
        <v>0</v>
      </c>
      <c r="AD85" s="31">
        <f>IF(AQ85="7",BH85,0)</f>
        <v>0</v>
      </c>
      <c r="AE85" s="31">
        <f>IF(AQ85="7",BI85,0)</f>
        <v>0</v>
      </c>
      <c r="AF85" s="31">
        <f>IF(AQ85="2",BH85,0)</f>
        <v>0</v>
      </c>
      <c r="AG85" s="31">
        <f>IF(AQ85="2",BI85,0)</f>
        <v>0</v>
      </c>
      <c r="AH85" s="31">
        <f>IF(AQ85="0",BJ85,0)</f>
        <v>0</v>
      </c>
      <c r="AI85" s="12" t="s">
        <v>49</v>
      </c>
      <c r="AJ85" s="31">
        <f>IF(AN85=0,L85,0)</f>
        <v>0</v>
      </c>
      <c r="AK85" s="31">
        <f>IF(AN85=12,L85,0)</f>
        <v>0</v>
      </c>
      <c r="AL85" s="31">
        <f>IF(AN85=21,L85,0)</f>
        <v>0</v>
      </c>
      <c r="AN85" s="31">
        <v>21</v>
      </c>
      <c r="AO85" s="31">
        <f>H85*0</f>
        <v>0</v>
      </c>
      <c r="AP85" s="31">
        <f>H85*(1-0)</f>
        <v>0</v>
      </c>
      <c r="AQ85" s="32" t="s">
        <v>52</v>
      </c>
      <c r="AV85" s="31">
        <f>AW85+AX85</f>
        <v>0</v>
      </c>
      <c r="AW85" s="31">
        <f>G85*AO85</f>
        <v>0</v>
      </c>
      <c r="AX85" s="31">
        <f>G85*AP85</f>
        <v>0</v>
      </c>
      <c r="AY85" s="32" t="s">
        <v>192</v>
      </c>
      <c r="AZ85" s="32" t="s">
        <v>193</v>
      </c>
      <c r="BA85" s="12" t="s">
        <v>60</v>
      </c>
      <c r="BC85" s="31">
        <f>AW85+AX85</f>
        <v>0</v>
      </c>
      <c r="BD85" s="31">
        <f>H85/(100-BE85)*100</f>
        <v>0</v>
      </c>
      <c r="BE85" s="31">
        <v>0</v>
      </c>
      <c r="BF85" s="31">
        <f>O85</f>
        <v>0</v>
      </c>
      <c r="BH85" s="31">
        <f>G85*AO85</f>
        <v>0</v>
      </c>
      <c r="BI85" s="31">
        <f>G85*AP85</f>
        <v>0</v>
      </c>
      <c r="BJ85" s="31">
        <f>G85*H85</f>
        <v>0</v>
      </c>
      <c r="BK85" s="31"/>
      <c r="BL85" s="31">
        <v>31</v>
      </c>
      <c r="BW85" s="31" t="str">
        <f>I85</f>
        <v>21</v>
      </c>
      <c r="BX85" s="4" t="s">
        <v>229</v>
      </c>
    </row>
    <row r="86" spans="1:76" ht="14.35" x14ac:dyDescent="0.5">
      <c r="A86" s="2" t="s">
        <v>230</v>
      </c>
      <c r="B86" s="3" t="s">
        <v>49</v>
      </c>
      <c r="C86" s="3" t="s">
        <v>231</v>
      </c>
      <c r="D86" s="72" t="s">
        <v>232</v>
      </c>
      <c r="E86" s="73"/>
      <c r="F86" s="3" t="s">
        <v>125</v>
      </c>
      <c r="G86" s="31">
        <v>920</v>
      </c>
      <c r="H86" s="71"/>
      <c r="I86" s="32" t="s">
        <v>56</v>
      </c>
      <c r="J86" s="31">
        <f>G86*AO86</f>
        <v>0</v>
      </c>
      <c r="K86" s="31">
        <f>G86*AP86</f>
        <v>0</v>
      </c>
      <c r="L86" s="31">
        <f>G86*H86</f>
        <v>0</v>
      </c>
      <c r="M86" s="31">
        <f>L86*(1+BW86/100)</f>
        <v>0</v>
      </c>
      <c r="N86" s="31">
        <v>3.7670000000000002E-2</v>
      </c>
      <c r="O86" s="31">
        <f>G86*N86</f>
        <v>34.656400000000005</v>
      </c>
      <c r="P86" s="33" t="s">
        <v>57</v>
      </c>
      <c r="Z86" s="31">
        <f>IF(AQ86="5",BJ86,0)</f>
        <v>0</v>
      </c>
      <c r="AB86" s="31">
        <f>IF(AQ86="1",BH86,0)</f>
        <v>0</v>
      </c>
      <c r="AC86" s="31">
        <f>IF(AQ86="1",BI86,0)</f>
        <v>0</v>
      </c>
      <c r="AD86" s="31">
        <f>IF(AQ86="7",BH86,0)</f>
        <v>0</v>
      </c>
      <c r="AE86" s="31">
        <f>IF(AQ86="7",BI86,0)</f>
        <v>0</v>
      </c>
      <c r="AF86" s="31">
        <f>IF(AQ86="2",BH86,0)</f>
        <v>0</v>
      </c>
      <c r="AG86" s="31">
        <f>IF(AQ86="2",BI86,0)</f>
        <v>0</v>
      </c>
      <c r="AH86" s="31">
        <f>IF(AQ86="0",BJ86,0)</f>
        <v>0</v>
      </c>
      <c r="AI86" s="12" t="s">
        <v>49</v>
      </c>
      <c r="AJ86" s="31">
        <f>IF(AN86=0,L86,0)</f>
        <v>0</v>
      </c>
      <c r="AK86" s="31">
        <f>IF(AN86=12,L86,0)</f>
        <v>0</v>
      </c>
      <c r="AL86" s="31">
        <f>IF(AN86=21,L86,0)</f>
        <v>0</v>
      </c>
      <c r="AN86" s="31">
        <v>21</v>
      </c>
      <c r="AO86" s="31">
        <f>H86*0.170460922</f>
        <v>0</v>
      </c>
      <c r="AP86" s="31">
        <f>H86*(1-0.170460922)</f>
        <v>0</v>
      </c>
      <c r="AQ86" s="32" t="s">
        <v>52</v>
      </c>
      <c r="AV86" s="31">
        <f>AW86+AX86</f>
        <v>0</v>
      </c>
      <c r="AW86" s="31">
        <f>G86*AO86</f>
        <v>0</v>
      </c>
      <c r="AX86" s="31">
        <f>G86*AP86</f>
        <v>0</v>
      </c>
      <c r="AY86" s="32" t="s">
        <v>192</v>
      </c>
      <c r="AZ86" s="32" t="s">
        <v>193</v>
      </c>
      <c r="BA86" s="12" t="s">
        <v>60</v>
      </c>
      <c r="BC86" s="31">
        <f>AW86+AX86</f>
        <v>0</v>
      </c>
      <c r="BD86" s="31">
        <f>H86/(100-BE86)*100</f>
        <v>0</v>
      </c>
      <c r="BE86" s="31">
        <v>0</v>
      </c>
      <c r="BF86" s="31">
        <f>O86</f>
        <v>34.656400000000005</v>
      </c>
      <c r="BH86" s="31">
        <f>G86*AO86</f>
        <v>0</v>
      </c>
      <c r="BI86" s="31">
        <f>G86*AP86</f>
        <v>0</v>
      </c>
      <c r="BJ86" s="31">
        <f>G86*H86</f>
        <v>0</v>
      </c>
      <c r="BK86" s="31"/>
      <c r="BL86" s="31">
        <v>31</v>
      </c>
      <c r="BW86" s="31" t="str">
        <f>I86</f>
        <v>21</v>
      </c>
      <c r="BX86" s="4" t="s">
        <v>232</v>
      </c>
    </row>
    <row r="87" spans="1:76" ht="14.35" x14ac:dyDescent="0.5">
      <c r="A87" s="34"/>
      <c r="D87" s="35" t="s">
        <v>233</v>
      </c>
      <c r="E87" s="35" t="s">
        <v>234</v>
      </c>
      <c r="G87" s="36">
        <v>920</v>
      </c>
      <c r="P87" s="37"/>
    </row>
    <row r="88" spans="1:76" ht="14.35" x14ac:dyDescent="0.5">
      <c r="A88" s="2" t="s">
        <v>235</v>
      </c>
      <c r="B88" s="3" t="s">
        <v>49</v>
      </c>
      <c r="C88" s="3" t="s">
        <v>236</v>
      </c>
      <c r="D88" s="72" t="s">
        <v>237</v>
      </c>
      <c r="E88" s="73"/>
      <c r="F88" s="3" t="s">
        <v>125</v>
      </c>
      <c r="G88" s="31">
        <v>15.06</v>
      </c>
      <c r="H88" s="71"/>
      <c r="I88" s="32" t="s">
        <v>56</v>
      </c>
      <c r="J88" s="31">
        <f>G88*AO88</f>
        <v>0</v>
      </c>
      <c r="K88" s="31">
        <f>G88*AP88</f>
        <v>0</v>
      </c>
      <c r="L88" s="31">
        <f>G88*H88</f>
        <v>0</v>
      </c>
      <c r="M88" s="31">
        <f>L88*(1+BW88/100)</f>
        <v>0</v>
      </c>
      <c r="N88" s="31">
        <v>0.63200000000000001</v>
      </c>
      <c r="O88" s="31">
        <f>G88*N88</f>
        <v>9.5179200000000002</v>
      </c>
      <c r="P88" s="33" t="s">
        <v>57</v>
      </c>
      <c r="Z88" s="31">
        <f>IF(AQ88="5",BJ88,0)</f>
        <v>0</v>
      </c>
      <c r="AB88" s="31">
        <f>IF(AQ88="1",BH88,0)</f>
        <v>0</v>
      </c>
      <c r="AC88" s="31">
        <f>IF(AQ88="1",BI88,0)</f>
        <v>0</v>
      </c>
      <c r="AD88" s="31">
        <f>IF(AQ88="7",BH88,0)</f>
        <v>0</v>
      </c>
      <c r="AE88" s="31">
        <f>IF(AQ88="7",BI88,0)</f>
        <v>0</v>
      </c>
      <c r="AF88" s="31">
        <f>IF(AQ88="2",BH88,0)</f>
        <v>0</v>
      </c>
      <c r="AG88" s="31">
        <f>IF(AQ88="2",BI88,0)</f>
        <v>0</v>
      </c>
      <c r="AH88" s="31">
        <f>IF(AQ88="0",BJ88,0)</f>
        <v>0</v>
      </c>
      <c r="AI88" s="12" t="s">
        <v>49</v>
      </c>
      <c r="AJ88" s="31">
        <f>IF(AN88=0,L88,0)</f>
        <v>0</v>
      </c>
      <c r="AK88" s="31">
        <f>IF(AN88=12,L88,0)</f>
        <v>0</v>
      </c>
      <c r="AL88" s="31">
        <f>IF(AN88=21,L88,0)</f>
        <v>0</v>
      </c>
      <c r="AN88" s="31">
        <v>21</v>
      </c>
      <c r="AO88" s="31">
        <f>H88*0.907203947</f>
        <v>0</v>
      </c>
      <c r="AP88" s="31">
        <f>H88*(1-0.907203947)</f>
        <v>0</v>
      </c>
      <c r="AQ88" s="32" t="s">
        <v>52</v>
      </c>
      <c r="AV88" s="31">
        <f>AW88+AX88</f>
        <v>0</v>
      </c>
      <c r="AW88" s="31">
        <f>G88*AO88</f>
        <v>0</v>
      </c>
      <c r="AX88" s="31">
        <f>G88*AP88</f>
        <v>0</v>
      </c>
      <c r="AY88" s="32" t="s">
        <v>192</v>
      </c>
      <c r="AZ88" s="32" t="s">
        <v>193</v>
      </c>
      <c r="BA88" s="12" t="s">
        <v>60</v>
      </c>
      <c r="BC88" s="31">
        <f>AW88+AX88</f>
        <v>0</v>
      </c>
      <c r="BD88" s="31">
        <f>H88/(100-BE88)*100</f>
        <v>0</v>
      </c>
      <c r="BE88" s="31">
        <v>0</v>
      </c>
      <c r="BF88" s="31">
        <f>O88</f>
        <v>9.5179200000000002</v>
      </c>
      <c r="BH88" s="31">
        <f>G88*AO88</f>
        <v>0</v>
      </c>
      <c r="BI88" s="31">
        <f>G88*AP88</f>
        <v>0</v>
      </c>
      <c r="BJ88" s="31">
        <f>G88*H88</f>
        <v>0</v>
      </c>
      <c r="BK88" s="31"/>
      <c r="BL88" s="31">
        <v>31</v>
      </c>
      <c r="BW88" s="31" t="str">
        <f>I88</f>
        <v>21</v>
      </c>
      <c r="BX88" s="4" t="s">
        <v>237</v>
      </c>
    </row>
    <row r="89" spans="1:76" ht="14.35" x14ac:dyDescent="0.5">
      <c r="A89" s="34"/>
      <c r="D89" s="35" t="s">
        <v>238</v>
      </c>
      <c r="E89" s="35" t="s">
        <v>239</v>
      </c>
      <c r="G89" s="36">
        <v>15.06</v>
      </c>
      <c r="P89" s="37"/>
    </row>
    <row r="90" spans="1:76" ht="14.35" x14ac:dyDescent="0.5">
      <c r="A90" s="2" t="s">
        <v>240</v>
      </c>
      <c r="B90" s="3" t="s">
        <v>49</v>
      </c>
      <c r="C90" s="3" t="s">
        <v>241</v>
      </c>
      <c r="D90" s="72" t="s">
        <v>242</v>
      </c>
      <c r="E90" s="73"/>
      <c r="F90" s="3" t="s">
        <v>150</v>
      </c>
      <c r="G90" s="31">
        <v>20.079999999999998</v>
      </c>
      <c r="H90" s="71"/>
      <c r="I90" s="32" t="s">
        <v>56</v>
      </c>
      <c r="J90" s="31">
        <f>G90*AO90</f>
        <v>0</v>
      </c>
      <c r="K90" s="31">
        <f>G90*AP90</f>
        <v>0</v>
      </c>
      <c r="L90" s="31">
        <f>G90*H90</f>
        <v>0</v>
      </c>
      <c r="M90" s="31">
        <f>L90*(1+BW90/100)</f>
        <v>0</v>
      </c>
      <c r="N90" s="31">
        <v>8.8059999999999999E-2</v>
      </c>
      <c r="O90" s="31">
        <f>G90*N90</f>
        <v>1.7682447999999997</v>
      </c>
      <c r="P90" s="33" t="s">
        <v>57</v>
      </c>
      <c r="Z90" s="31">
        <f>IF(AQ90="5",BJ90,0)</f>
        <v>0</v>
      </c>
      <c r="AB90" s="31">
        <f>IF(AQ90="1",BH90,0)</f>
        <v>0</v>
      </c>
      <c r="AC90" s="31">
        <f>IF(AQ90="1",BI90,0)</f>
        <v>0</v>
      </c>
      <c r="AD90" s="31">
        <f>IF(AQ90="7",BH90,0)</f>
        <v>0</v>
      </c>
      <c r="AE90" s="31">
        <f>IF(AQ90="7",BI90,0)</f>
        <v>0</v>
      </c>
      <c r="AF90" s="31">
        <f>IF(AQ90="2",BH90,0)</f>
        <v>0</v>
      </c>
      <c r="AG90" s="31">
        <f>IF(AQ90="2",BI90,0)</f>
        <v>0</v>
      </c>
      <c r="AH90" s="31">
        <f>IF(AQ90="0",BJ90,0)</f>
        <v>0</v>
      </c>
      <c r="AI90" s="12" t="s">
        <v>49</v>
      </c>
      <c r="AJ90" s="31">
        <f>IF(AN90=0,L90,0)</f>
        <v>0</v>
      </c>
      <c r="AK90" s="31">
        <f>IF(AN90=12,L90,0)</f>
        <v>0</v>
      </c>
      <c r="AL90" s="31">
        <f>IF(AN90=21,L90,0)</f>
        <v>0</v>
      </c>
      <c r="AN90" s="31">
        <v>21</v>
      </c>
      <c r="AO90" s="31">
        <f>H90*0.681900826</f>
        <v>0</v>
      </c>
      <c r="AP90" s="31">
        <f>H90*(1-0.681900826)</f>
        <v>0</v>
      </c>
      <c r="AQ90" s="32" t="s">
        <v>52</v>
      </c>
      <c r="AV90" s="31">
        <f>AW90+AX90</f>
        <v>0</v>
      </c>
      <c r="AW90" s="31">
        <f>G90*AO90</f>
        <v>0</v>
      </c>
      <c r="AX90" s="31">
        <f>G90*AP90</f>
        <v>0</v>
      </c>
      <c r="AY90" s="32" t="s">
        <v>192</v>
      </c>
      <c r="AZ90" s="32" t="s">
        <v>193</v>
      </c>
      <c r="BA90" s="12" t="s">
        <v>60</v>
      </c>
      <c r="BC90" s="31">
        <f>AW90+AX90</f>
        <v>0</v>
      </c>
      <c r="BD90" s="31">
        <f>H90/(100-BE90)*100</f>
        <v>0</v>
      </c>
      <c r="BE90" s="31">
        <v>0</v>
      </c>
      <c r="BF90" s="31">
        <f>O90</f>
        <v>1.7682447999999997</v>
      </c>
      <c r="BH90" s="31">
        <f>G90*AO90</f>
        <v>0</v>
      </c>
      <c r="BI90" s="31">
        <f>G90*AP90</f>
        <v>0</v>
      </c>
      <c r="BJ90" s="31">
        <f>G90*H90</f>
        <v>0</v>
      </c>
      <c r="BK90" s="31"/>
      <c r="BL90" s="31">
        <v>31</v>
      </c>
      <c r="BW90" s="31" t="str">
        <f>I90</f>
        <v>21</v>
      </c>
      <c r="BX90" s="4" t="s">
        <v>242</v>
      </c>
    </row>
    <row r="91" spans="1:76" ht="14.35" x14ac:dyDescent="0.5">
      <c r="A91" s="34"/>
      <c r="D91" s="35" t="s">
        <v>243</v>
      </c>
      <c r="E91" s="35" t="s">
        <v>244</v>
      </c>
      <c r="G91" s="36">
        <v>20.079999999999998</v>
      </c>
      <c r="P91" s="37"/>
    </row>
    <row r="92" spans="1:76" ht="14.35" x14ac:dyDescent="0.5">
      <c r="A92" s="2" t="s">
        <v>245</v>
      </c>
      <c r="B92" s="3" t="s">
        <v>49</v>
      </c>
      <c r="C92" s="3" t="s">
        <v>246</v>
      </c>
      <c r="D92" s="72" t="s">
        <v>247</v>
      </c>
      <c r="E92" s="73"/>
      <c r="F92" s="3" t="s">
        <v>55</v>
      </c>
      <c r="G92" s="31">
        <v>10.45</v>
      </c>
      <c r="H92" s="71"/>
      <c r="I92" s="32" t="s">
        <v>56</v>
      </c>
      <c r="J92" s="31">
        <f>G92*AO92</f>
        <v>0</v>
      </c>
      <c r="K92" s="31">
        <f>G92*AP92</f>
        <v>0</v>
      </c>
      <c r="L92" s="31">
        <f>G92*H92</f>
        <v>0</v>
      </c>
      <c r="M92" s="31">
        <f>L92*(1+BW92/100)</f>
        <v>0</v>
      </c>
      <c r="N92" s="31">
        <v>1.6854</v>
      </c>
      <c r="O92" s="31">
        <f>G92*N92</f>
        <v>17.61243</v>
      </c>
      <c r="P92" s="33" t="s">
        <v>57</v>
      </c>
      <c r="Z92" s="31">
        <f>IF(AQ92="5",BJ92,0)</f>
        <v>0</v>
      </c>
      <c r="AB92" s="31">
        <f>IF(AQ92="1",BH92,0)</f>
        <v>0</v>
      </c>
      <c r="AC92" s="31">
        <f>IF(AQ92="1",BI92,0)</f>
        <v>0</v>
      </c>
      <c r="AD92" s="31">
        <f>IF(AQ92="7",BH92,0)</f>
        <v>0</v>
      </c>
      <c r="AE92" s="31">
        <f>IF(AQ92="7",BI92,0)</f>
        <v>0</v>
      </c>
      <c r="AF92" s="31">
        <f>IF(AQ92="2",BH92,0)</f>
        <v>0</v>
      </c>
      <c r="AG92" s="31">
        <f>IF(AQ92="2",BI92,0)</f>
        <v>0</v>
      </c>
      <c r="AH92" s="31">
        <f>IF(AQ92="0",BJ92,0)</f>
        <v>0</v>
      </c>
      <c r="AI92" s="12" t="s">
        <v>49</v>
      </c>
      <c r="AJ92" s="31">
        <f>IF(AN92=0,L92,0)</f>
        <v>0</v>
      </c>
      <c r="AK92" s="31">
        <f>IF(AN92=12,L92,0)</f>
        <v>0</v>
      </c>
      <c r="AL92" s="31">
        <f>IF(AN92=21,L92,0)</f>
        <v>0</v>
      </c>
      <c r="AN92" s="31">
        <v>21</v>
      </c>
      <c r="AO92" s="31">
        <f>H92*0.743523674</f>
        <v>0</v>
      </c>
      <c r="AP92" s="31">
        <f>H92*(1-0.743523674)</f>
        <v>0</v>
      </c>
      <c r="AQ92" s="32" t="s">
        <v>52</v>
      </c>
      <c r="AV92" s="31">
        <f>AW92+AX92</f>
        <v>0</v>
      </c>
      <c r="AW92" s="31">
        <f>G92*AO92</f>
        <v>0</v>
      </c>
      <c r="AX92" s="31">
        <f>G92*AP92</f>
        <v>0</v>
      </c>
      <c r="AY92" s="32" t="s">
        <v>192</v>
      </c>
      <c r="AZ92" s="32" t="s">
        <v>193</v>
      </c>
      <c r="BA92" s="12" t="s">
        <v>60</v>
      </c>
      <c r="BC92" s="31">
        <f>AW92+AX92</f>
        <v>0</v>
      </c>
      <c r="BD92" s="31">
        <f>H92/(100-BE92)*100</f>
        <v>0</v>
      </c>
      <c r="BE92" s="31">
        <v>0</v>
      </c>
      <c r="BF92" s="31">
        <f>O92</f>
        <v>17.61243</v>
      </c>
      <c r="BH92" s="31">
        <f>G92*AO92</f>
        <v>0</v>
      </c>
      <c r="BI92" s="31">
        <f>G92*AP92</f>
        <v>0</v>
      </c>
      <c r="BJ92" s="31">
        <f>G92*H92</f>
        <v>0</v>
      </c>
      <c r="BK92" s="31"/>
      <c r="BL92" s="31">
        <v>31</v>
      </c>
      <c r="BW92" s="31" t="str">
        <f>I92</f>
        <v>21</v>
      </c>
      <c r="BX92" s="4" t="s">
        <v>247</v>
      </c>
    </row>
    <row r="93" spans="1:76" ht="14.35" x14ac:dyDescent="0.5">
      <c r="A93" s="34"/>
      <c r="D93" s="35" t="s">
        <v>248</v>
      </c>
      <c r="E93" s="35" t="s">
        <v>249</v>
      </c>
      <c r="G93" s="36">
        <v>10.45</v>
      </c>
      <c r="P93" s="37"/>
    </row>
    <row r="94" spans="1:76" ht="14.35" x14ac:dyDescent="0.5">
      <c r="A94" s="2" t="s">
        <v>250</v>
      </c>
      <c r="B94" s="3" t="s">
        <v>49</v>
      </c>
      <c r="C94" s="3" t="s">
        <v>251</v>
      </c>
      <c r="D94" s="72" t="s">
        <v>252</v>
      </c>
      <c r="E94" s="73"/>
      <c r="F94" s="3" t="s">
        <v>55</v>
      </c>
      <c r="G94" s="31">
        <v>0.55000000000000004</v>
      </c>
      <c r="H94" s="71"/>
      <c r="I94" s="32" t="s">
        <v>56</v>
      </c>
      <c r="J94" s="31">
        <f>G94*AO94</f>
        <v>0</v>
      </c>
      <c r="K94" s="31">
        <f>G94*AP94</f>
        <v>0</v>
      </c>
      <c r="L94" s="31">
        <f>G94*H94</f>
        <v>0</v>
      </c>
      <c r="M94" s="31">
        <f>L94*(1+BW94/100)</f>
        <v>0</v>
      </c>
      <c r="N94" s="31">
        <v>1.8427199999999999</v>
      </c>
      <c r="O94" s="31">
        <f>G94*N94</f>
        <v>1.013496</v>
      </c>
      <c r="P94" s="33" t="s">
        <v>57</v>
      </c>
      <c r="Z94" s="31">
        <f>IF(AQ94="5",BJ94,0)</f>
        <v>0</v>
      </c>
      <c r="AB94" s="31">
        <f>IF(AQ94="1",BH94,0)</f>
        <v>0</v>
      </c>
      <c r="AC94" s="31">
        <f>IF(AQ94="1",BI94,0)</f>
        <v>0</v>
      </c>
      <c r="AD94" s="31">
        <f>IF(AQ94="7",BH94,0)</f>
        <v>0</v>
      </c>
      <c r="AE94" s="31">
        <f>IF(AQ94="7",BI94,0)</f>
        <v>0</v>
      </c>
      <c r="AF94" s="31">
        <f>IF(AQ94="2",BH94,0)</f>
        <v>0</v>
      </c>
      <c r="AG94" s="31">
        <f>IF(AQ94="2",BI94,0)</f>
        <v>0</v>
      </c>
      <c r="AH94" s="31">
        <f>IF(AQ94="0",BJ94,0)</f>
        <v>0</v>
      </c>
      <c r="AI94" s="12" t="s">
        <v>49</v>
      </c>
      <c r="AJ94" s="31">
        <f>IF(AN94=0,L94,0)</f>
        <v>0</v>
      </c>
      <c r="AK94" s="31">
        <f>IF(AN94=12,L94,0)</f>
        <v>0</v>
      </c>
      <c r="AL94" s="31">
        <f>IF(AN94=21,L94,0)</f>
        <v>0</v>
      </c>
      <c r="AN94" s="31">
        <v>21</v>
      </c>
      <c r="AO94" s="31">
        <f>H94*0.683320819</f>
        <v>0</v>
      </c>
      <c r="AP94" s="31">
        <f>H94*(1-0.683320819)</f>
        <v>0</v>
      </c>
      <c r="AQ94" s="32" t="s">
        <v>52</v>
      </c>
      <c r="AV94" s="31">
        <f>AW94+AX94</f>
        <v>0</v>
      </c>
      <c r="AW94" s="31">
        <f>G94*AO94</f>
        <v>0</v>
      </c>
      <c r="AX94" s="31">
        <f>G94*AP94</f>
        <v>0</v>
      </c>
      <c r="AY94" s="32" t="s">
        <v>192</v>
      </c>
      <c r="AZ94" s="32" t="s">
        <v>193</v>
      </c>
      <c r="BA94" s="12" t="s">
        <v>60</v>
      </c>
      <c r="BC94" s="31">
        <f>AW94+AX94</f>
        <v>0</v>
      </c>
      <c r="BD94" s="31">
        <f>H94/(100-BE94)*100</f>
        <v>0</v>
      </c>
      <c r="BE94" s="31">
        <v>0</v>
      </c>
      <c r="BF94" s="31">
        <f>O94</f>
        <v>1.013496</v>
      </c>
      <c r="BH94" s="31">
        <f>G94*AO94</f>
        <v>0</v>
      </c>
      <c r="BI94" s="31">
        <f>G94*AP94</f>
        <v>0</v>
      </c>
      <c r="BJ94" s="31">
        <f>G94*H94</f>
        <v>0</v>
      </c>
      <c r="BK94" s="31"/>
      <c r="BL94" s="31">
        <v>31</v>
      </c>
      <c r="BW94" s="31" t="str">
        <f>I94</f>
        <v>21</v>
      </c>
      <c r="BX94" s="4" t="s">
        <v>252</v>
      </c>
    </row>
    <row r="95" spans="1:76" ht="14.35" x14ac:dyDescent="0.5">
      <c r="A95" s="34"/>
      <c r="D95" s="35" t="s">
        <v>253</v>
      </c>
      <c r="E95" s="35" t="s">
        <v>254</v>
      </c>
      <c r="G95" s="36">
        <v>0.55000000000000004</v>
      </c>
      <c r="P95" s="37"/>
    </row>
    <row r="96" spans="1:76" ht="14.35" x14ac:dyDescent="0.5">
      <c r="A96" s="38" t="s">
        <v>49</v>
      </c>
      <c r="B96" s="39" t="s">
        <v>49</v>
      </c>
      <c r="C96" s="39" t="s">
        <v>223</v>
      </c>
      <c r="D96" s="126" t="s">
        <v>255</v>
      </c>
      <c r="E96" s="127"/>
      <c r="F96" s="40" t="s">
        <v>3</v>
      </c>
      <c r="G96" s="40" t="s">
        <v>3</v>
      </c>
      <c r="H96" s="40" t="s">
        <v>3</v>
      </c>
      <c r="I96" s="40" t="s">
        <v>3</v>
      </c>
      <c r="J96" s="1">
        <f>SUM(J97:J97)</f>
        <v>0</v>
      </c>
      <c r="K96" s="1">
        <f>SUM(K97:K97)</f>
        <v>0</v>
      </c>
      <c r="L96" s="1">
        <f>SUM(L97:L97)</f>
        <v>0</v>
      </c>
      <c r="M96" s="1">
        <f>SUM(M97:M97)</f>
        <v>0</v>
      </c>
      <c r="N96" s="12" t="s">
        <v>49</v>
      </c>
      <c r="O96" s="1">
        <f>SUM(O97:O97)</f>
        <v>6.6766560000000004</v>
      </c>
      <c r="P96" s="41" t="s">
        <v>49</v>
      </c>
      <c r="AI96" s="12" t="s">
        <v>49</v>
      </c>
      <c r="AS96" s="1">
        <f>SUM(AJ97:AJ97)</f>
        <v>0</v>
      </c>
      <c r="AT96" s="1">
        <f>SUM(AK97:AK97)</f>
        <v>0</v>
      </c>
      <c r="AU96" s="1">
        <f>SUM(AL97:AL97)</f>
        <v>0</v>
      </c>
    </row>
    <row r="97" spans="1:76" ht="14.35" x14ac:dyDescent="0.5">
      <c r="A97" s="2" t="s">
        <v>256</v>
      </c>
      <c r="B97" s="3" t="s">
        <v>49</v>
      </c>
      <c r="C97" s="3" t="s">
        <v>257</v>
      </c>
      <c r="D97" s="72" t="s">
        <v>258</v>
      </c>
      <c r="E97" s="73"/>
      <c r="F97" s="3" t="s">
        <v>55</v>
      </c>
      <c r="G97" s="31">
        <v>2.48</v>
      </c>
      <c r="H97" s="71"/>
      <c r="I97" s="32" t="s">
        <v>56</v>
      </c>
      <c r="J97" s="31">
        <f>G97*AO97</f>
        <v>0</v>
      </c>
      <c r="K97" s="31">
        <f>G97*AP97</f>
        <v>0</v>
      </c>
      <c r="L97" s="31">
        <f>G97*H97</f>
        <v>0</v>
      </c>
      <c r="M97" s="31">
        <f>L97*(1+BW97/100)</f>
        <v>0</v>
      </c>
      <c r="N97" s="31">
        <v>2.6922000000000001</v>
      </c>
      <c r="O97" s="31">
        <f>G97*N97</f>
        <v>6.6766560000000004</v>
      </c>
      <c r="P97" s="33" t="s">
        <v>57</v>
      </c>
      <c r="Z97" s="31">
        <f>IF(AQ97="5",BJ97,0)</f>
        <v>0</v>
      </c>
      <c r="AB97" s="31">
        <f>IF(AQ97="1",BH97,0)</f>
        <v>0</v>
      </c>
      <c r="AC97" s="31">
        <f>IF(AQ97="1",BI97,0)</f>
        <v>0</v>
      </c>
      <c r="AD97" s="31">
        <f>IF(AQ97="7",BH97,0)</f>
        <v>0</v>
      </c>
      <c r="AE97" s="31">
        <f>IF(AQ97="7",BI97,0)</f>
        <v>0</v>
      </c>
      <c r="AF97" s="31">
        <f>IF(AQ97="2",BH97,0)</f>
        <v>0</v>
      </c>
      <c r="AG97" s="31">
        <f>IF(AQ97="2",BI97,0)</f>
        <v>0</v>
      </c>
      <c r="AH97" s="31">
        <f>IF(AQ97="0",BJ97,0)</f>
        <v>0</v>
      </c>
      <c r="AI97" s="12" t="s">
        <v>49</v>
      </c>
      <c r="AJ97" s="31">
        <f>IF(AN97=0,L97,0)</f>
        <v>0</v>
      </c>
      <c r="AK97" s="31">
        <f>IF(AN97=12,L97,0)</f>
        <v>0</v>
      </c>
      <c r="AL97" s="31">
        <f>IF(AN97=21,L97,0)</f>
        <v>0</v>
      </c>
      <c r="AN97" s="31">
        <v>21</v>
      </c>
      <c r="AO97" s="31">
        <f>H97*0.586674873</f>
        <v>0</v>
      </c>
      <c r="AP97" s="31">
        <f>H97*(1-0.586674873)</f>
        <v>0</v>
      </c>
      <c r="AQ97" s="32" t="s">
        <v>52</v>
      </c>
      <c r="AV97" s="31">
        <f>AW97+AX97</f>
        <v>0</v>
      </c>
      <c r="AW97" s="31">
        <f>G97*AO97</f>
        <v>0</v>
      </c>
      <c r="AX97" s="31">
        <f>G97*AP97</f>
        <v>0</v>
      </c>
      <c r="AY97" s="32" t="s">
        <v>259</v>
      </c>
      <c r="AZ97" s="32" t="s">
        <v>193</v>
      </c>
      <c r="BA97" s="12" t="s">
        <v>60</v>
      </c>
      <c r="BC97" s="31">
        <f>AW97+AX97</f>
        <v>0</v>
      </c>
      <c r="BD97" s="31">
        <f>H97/(100-BE97)*100</f>
        <v>0</v>
      </c>
      <c r="BE97" s="31">
        <v>0</v>
      </c>
      <c r="BF97" s="31">
        <f>O97</f>
        <v>6.6766560000000004</v>
      </c>
      <c r="BH97" s="31">
        <f>G97*AO97</f>
        <v>0</v>
      </c>
      <c r="BI97" s="31">
        <f>G97*AP97</f>
        <v>0</v>
      </c>
      <c r="BJ97" s="31">
        <f>G97*H97</f>
        <v>0</v>
      </c>
      <c r="BK97" s="31"/>
      <c r="BL97" s="31">
        <v>32</v>
      </c>
      <c r="BW97" s="31" t="str">
        <f>I97</f>
        <v>21</v>
      </c>
      <c r="BX97" s="4" t="s">
        <v>258</v>
      </c>
    </row>
    <row r="98" spans="1:76" ht="14.35" x14ac:dyDescent="0.5">
      <c r="A98" s="34"/>
      <c r="D98" s="35" t="s">
        <v>260</v>
      </c>
      <c r="E98" s="35" t="s">
        <v>261</v>
      </c>
      <c r="G98" s="36">
        <v>2.48</v>
      </c>
      <c r="P98" s="37"/>
    </row>
    <row r="99" spans="1:76" ht="14.35" x14ac:dyDescent="0.5">
      <c r="A99" s="38" t="s">
        <v>49</v>
      </c>
      <c r="B99" s="39" t="s">
        <v>49</v>
      </c>
      <c r="C99" s="39" t="s">
        <v>250</v>
      </c>
      <c r="D99" s="126" t="s">
        <v>262</v>
      </c>
      <c r="E99" s="127"/>
      <c r="F99" s="40" t="s">
        <v>3</v>
      </c>
      <c r="G99" s="40" t="s">
        <v>3</v>
      </c>
      <c r="H99" s="40" t="s">
        <v>3</v>
      </c>
      <c r="I99" s="40" t="s">
        <v>3</v>
      </c>
      <c r="J99" s="1">
        <f>SUM(J100:J102)</f>
        <v>0</v>
      </c>
      <c r="K99" s="1">
        <f>SUM(K100:K102)</f>
        <v>0</v>
      </c>
      <c r="L99" s="1">
        <f>SUM(L100:L102)</f>
        <v>0</v>
      </c>
      <c r="M99" s="1">
        <f>SUM(M100:M102)</f>
        <v>0</v>
      </c>
      <c r="N99" s="12" t="s">
        <v>49</v>
      </c>
      <c r="O99" s="1">
        <f>SUM(O100:O102)</f>
        <v>3.2279</v>
      </c>
      <c r="P99" s="41" t="s">
        <v>49</v>
      </c>
      <c r="AI99" s="12" t="s">
        <v>49</v>
      </c>
      <c r="AS99" s="1">
        <f>SUM(AJ100:AJ102)</f>
        <v>0</v>
      </c>
      <c r="AT99" s="1">
        <f>SUM(AK100:AK102)</f>
        <v>0</v>
      </c>
      <c r="AU99" s="1">
        <f>SUM(AL100:AL102)</f>
        <v>0</v>
      </c>
    </row>
    <row r="100" spans="1:76" ht="14.35" x14ac:dyDescent="0.5">
      <c r="A100" s="2" t="s">
        <v>263</v>
      </c>
      <c r="B100" s="3" t="s">
        <v>49</v>
      </c>
      <c r="C100" s="3" t="s">
        <v>264</v>
      </c>
      <c r="D100" s="72" t="s">
        <v>265</v>
      </c>
      <c r="E100" s="73"/>
      <c r="F100" s="3" t="s">
        <v>179</v>
      </c>
      <c r="G100" s="31">
        <v>13</v>
      </c>
      <c r="H100" s="71"/>
      <c r="I100" s="32" t="s">
        <v>56</v>
      </c>
      <c r="J100" s="31">
        <f>G100*AO100</f>
        <v>0</v>
      </c>
      <c r="K100" s="31">
        <f>G100*AP100</f>
        <v>0</v>
      </c>
      <c r="L100" s="31">
        <f>G100*H100</f>
        <v>0</v>
      </c>
      <c r="M100" s="31">
        <f>L100*(1+BW100/100)</f>
        <v>0</v>
      </c>
      <c r="N100" s="31">
        <v>5.0450000000000002E-2</v>
      </c>
      <c r="O100" s="31">
        <f>G100*N100</f>
        <v>0.65585000000000004</v>
      </c>
      <c r="P100" s="33" t="s">
        <v>57</v>
      </c>
      <c r="Z100" s="31">
        <f>IF(AQ100="5",BJ100,0)</f>
        <v>0</v>
      </c>
      <c r="AB100" s="31">
        <f>IF(AQ100="1",BH100,0)</f>
        <v>0</v>
      </c>
      <c r="AC100" s="31">
        <f>IF(AQ100="1",BI100,0)</f>
        <v>0</v>
      </c>
      <c r="AD100" s="31">
        <f>IF(AQ100="7",BH100,0)</f>
        <v>0</v>
      </c>
      <c r="AE100" s="31">
        <f>IF(AQ100="7",BI100,0)</f>
        <v>0</v>
      </c>
      <c r="AF100" s="31">
        <f>IF(AQ100="2",BH100,0)</f>
        <v>0</v>
      </c>
      <c r="AG100" s="31">
        <f>IF(AQ100="2",BI100,0)</f>
        <v>0</v>
      </c>
      <c r="AH100" s="31">
        <f>IF(AQ100="0",BJ100,0)</f>
        <v>0</v>
      </c>
      <c r="AI100" s="12" t="s">
        <v>49</v>
      </c>
      <c r="AJ100" s="31">
        <f>IF(AN100=0,L100,0)</f>
        <v>0</v>
      </c>
      <c r="AK100" s="31">
        <f>IF(AN100=12,L100,0)</f>
        <v>0</v>
      </c>
      <c r="AL100" s="31">
        <f>IF(AN100=21,L100,0)</f>
        <v>0</v>
      </c>
      <c r="AN100" s="31">
        <v>21</v>
      </c>
      <c r="AO100" s="31">
        <f>H100*0.144688163</f>
        <v>0</v>
      </c>
      <c r="AP100" s="31">
        <f>H100*(1-0.144688163)</f>
        <v>0</v>
      </c>
      <c r="AQ100" s="32" t="s">
        <v>52</v>
      </c>
      <c r="AV100" s="31">
        <f>AW100+AX100</f>
        <v>0</v>
      </c>
      <c r="AW100" s="31">
        <f>G100*AO100</f>
        <v>0</v>
      </c>
      <c r="AX100" s="31">
        <f>G100*AP100</f>
        <v>0</v>
      </c>
      <c r="AY100" s="32" t="s">
        <v>266</v>
      </c>
      <c r="AZ100" s="32" t="s">
        <v>193</v>
      </c>
      <c r="BA100" s="12" t="s">
        <v>60</v>
      </c>
      <c r="BC100" s="31">
        <f>AW100+AX100</f>
        <v>0</v>
      </c>
      <c r="BD100" s="31">
        <f>H100/(100-BE100)*100</f>
        <v>0</v>
      </c>
      <c r="BE100" s="31">
        <v>0</v>
      </c>
      <c r="BF100" s="31">
        <f>O100</f>
        <v>0.65585000000000004</v>
      </c>
      <c r="BH100" s="31">
        <f>G100*AO100</f>
        <v>0</v>
      </c>
      <c r="BI100" s="31">
        <f>G100*AP100</f>
        <v>0</v>
      </c>
      <c r="BJ100" s="31">
        <f>G100*H100</f>
        <v>0</v>
      </c>
      <c r="BK100" s="31"/>
      <c r="BL100" s="31">
        <v>38</v>
      </c>
      <c r="BW100" s="31" t="str">
        <f>I100</f>
        <v>21</v>
      </c>
      <c r="BX100" s="4" t="s">
        <v>265</v>
      </c>
    </row>
    <row r="101" spans="1:76" ht="14.35" x14ac:dyDescent="0.5">
      <c r="A101" s="34"/>
      <c r="D101" s="35" t="s">
        <v>50</v>
      </c>
      <c r="E101" s="35" t="s">
        <v>267</v>
      </c>
      <c r="G101" s="36">
        <v>13</v>
      </c>
      <c r="P101" s="37"/>
    </row>
    <row r="102" spans="1:76" ht="14.35" x14ac:dyDescent="0.5">
      <c r="A102" s="2" t="s">
        <v>268</v>
      </c>
      <c r="B102" s="3" t="s">
        <v>49</v>
      </c>
      <c r="C102" s="3" t="s">
        <v>269</v>
      </c>
      <c r="D102" s="72" t="s">
        <v>270</v>
      </c>
      <c r="E102" s="73"/>
      <c r="F102" s="3" t="s">
        <v>179</v>
      </c>
      <c r="G102" s="31">
        <v>13</v>
      </c>
      <c r="H102" s="71"/>
      <c r="I102" s="32" t="s">
        <v>56</v>
      </c>
      <c r="J102" s="31">
        <f>G102*AO102</f>
        <v>0</v>
      </c>
      <c r="K102" s="31">
        <f>G102*AP102</f>
        <v>0</v>
      </c>
      <c r="L102" s="31">
        <f>G102*H102</f>
        <v>0</v>
      </c>
      <c r="M102" s="31">
        <f>L102*(1+BW102/100)</f>
        <v>0</v>
      </c>
      <c r="N102" s="31">
        <v>0.19785</v>
      </c>
      <c r="O102" s="31">
        <f>G102*N102</f>
        <v>2.5720499999999999</v>
      </c>
      <c r="P102" s="33" t="s">
        <v>57</v>
      </c>
      <c r="Z102" s="31">
        <f>IF(AQ102="5",BJ102,0)</f>
        <v>0</v>
      </c>
      <c r="AB102" s="31">
        <f>IF(AQ102="1",BH102,0)</f>
        <v>0</v>
      </c>
      <c r="AC102" s="31">
        <f>IF(AQ102="1",BI102,0)</f>
        <v>0</v>
      </c>
      <c r="AD102" s="31">
        <f>IF(AQ102="7",BH102,0)</f>
        <v>0</v>
      </c>
      <c r="AE102" s="31">
        <f>IF(AQ102="7",BI102,0)</f>
        <v>0</v>
      </c>
      <c r="AF102" s="31">
        <f>IF(AQ102="2",BH102,0)</f>
        <v>0</v>
      </c>
      <c r="AG102" s="31">
        <f>IF(AQ102="2",BI102,0)</f>
        <v>0</v>
      </c>
      <c r="AH102" s="31">
        <f>IF(AQ102="0",BJ102,0)</f>
        <v>0</v>
      </c>
      <c r="AI102" s="12" t="s">
        <v>49</v>
      </c>
      <c r="AJ102" s="31">
        <f>IF(AN102=0,L102,0)</f>
        <v>0</v>
      </c>
      <c r="AK102" s="31">
        <f>IF(AN102=12,L102,0)</f>
        <v>0</v>
      </c>
      <c r="AL102" s="31">
        <f>IF(AN102=21,L102,0)</f>
        <v>0</v>
      </c>
      <c r="AN102" s="31">
        <v>21</v>
      </c>
      <c r="AO102" s="31">
        <f>H102*0.332297552</f>
        <v>0</v>
      </c>
      <c r="AP102" s="31">
        <f>H102*(1-0.332297552)</f>
        <v>0</v>
      </c>
      <c r="AQ102" s="32" t="s">
        <v>52</v>
      </c>
      <c r="AV102" s="31">
        <f>AW102+AX102</f>
        <v>0</v>
      </c>
      <c r="AW102" s="31">
        <f>G102*AO102</f>
        <v>0</v>
      </c>
      <c r="AX102" s="31">
        <f>G102*AP102</f>
        <v>0</v>
      </c>
      <c r="AY102" s="32" t="s">
        <v>266</v>
      </c>
      <c r="AZ102" s="32" t="s">
        <v>193</v>
      </c>
      <c r="BA102" s="12" t="s">
        <v>60</v>
      </c>
      <c r="BC102" s="31">
        <f>AW102+AX102</f>
        <v>0</v>
      </c>
      <c r="BD102" s="31">
        <f>H102/(100-BE102)*100</f>
        <v>0</v>
      </c>
      <c r="BE102" s="31">
        <v>0</v>
      </c>
      <c r="BF102" s="31">
        <f>O102</f>
        <v>2.5720499999999999</v>
      </c>
      <c r="BH102" s="31">
        <f>G102*AO102</f>
        <v>0</v>
      </c>
      <c r="BI102" s="31">
        <f>G102*AP102</f>
        <v>0</v>
      </c>
      <c r="BJ102" s="31">
        <f>G102*H102</f>
        <v>0</v>
      </c>
      <c r="BK102" s="31"/>
      <c r="BL102" s="31">
        <v>38</v>
      </c>
      <c r="BW102" s="31" t="str">
        <f>I102</f>
        <v>21</v>
      </c>
      <c r="BX102" s="4" t="s">
        <v>270</v>
      </c>
    </row>
    <row r="103" spans="1:76" ht="14.35" x14ac:dyDescent="0.5">
      <c r="A103" s="34"/>
      <c r="D103" s="35" t="s">
        <v>50</v>
      </c>
      <c r="E103" s="35" t="s">
        <v>271</v>
      </c>
      <c r="G103" s="36">
        <v>13</v>
      </c>
      <c r="P103" s="37"/>
    </row>
    <row r="104" spans="1:76" ht="14.35" x14ac:dyDescent="0.5">
      <c r="A104" s="38" t="s">
        <v>49</v>
      </c>
      <c r="B104" s="39" t="s">
        <v>49</v>
      </c>
      <c r="C104" s="39" t="s">
        <v>268</v>
      </c>
      <c r="D104" s="126" t="s">
        <v>272</v>
      </c>
      <c r="E104" s="127"/>
      <c r="F104" s="40" t="s">
        <v>3</v>
      </c>
      <c r="G104" s="40" t="s">
        <v>3</v>
      </c>
      <c r="H104" s="40" t="s">
        <v>3</v>
      </c>
      <c r="I104" s="40" t="s">
        <v>3</v>
      </c>
      <c r="J104" s="1">
        <f>SUM(J105:J122)</f>
        <v>0</v>
      </c>
      <c r="K104" s="1">
        <f>SUM(K105:K122)</f>
        <v>0</v>
      </c>
      <c r="L104" s="1">
        <f>SUM(L105:L122)</f>
        <v>0</v>
      </c>
      <c r="M104" s="1">
        <f>SUM(M105:M122)</f>
        <v>0</v>
      </c>
      <c r="N104" s="12" t="s">
        <v>49</v>
      </c>
      <c r="O104" s="1">
        <f>SUM(O105:O122)</f>
        <v>16.5114847</v>
      </c>
      <c r="P104" s="41" t="s">
        <v>49</v>
      </c>
      <c r="AI104" s="12" t="s">
        <v>49</v>
      </c>
      <c r="AS104" s="1">
        <f>SUM(AJ105:AJ122)</f>
        <v>0</v>
      </c>
      <c r="AT104" s="1">
        <f>SUM(AK105:AK122)</f>
        <v>0</v>
      </c>
      <c r="AU104" s="1">
        <f>SUM(AL105:AL122)</f>
        <v>0</v>
      </c>
    </row>
    <row r="105" spans="1:76" ht="14.35" x14ac:dyDescent="0.5">
      <c r="A105" s="2" t="s">
        <v>273</v>
      </c>
      <c r="B105" s="3" t="s">
        <v>49</v>
      </c>
      <c r="C105" s="3" t="s">
        <v>274</v>
      </c>
      <c r="D105" s="72" t="s">
        <v>275</v>
      </c>
      <c r="E105" s="73"/>
      <c r="F105" s="3" t="s">
        <v>125</v>
      </c>
      <c r="G105" s="31">
        <v>0.21</v>
      </c>
      <c r="H105" s="71"/>
      <c r="I105" s="32" t="s">
        <v>56</v>
      </c>
      <c r="J105" s="31">
        <f>G105*AO105</f>
        <v>0</v>
      </c>
      <c r="K105" s="31">
        <f>G105*AP105</f>
        <v>0</v>
      </c>
      <c r="L105" s="31">
        <f>G105*H105</f>
        <v>0</v>
      </c>
      <c r="M105" s="31">
        <f>L105*(1+BW105/100)</f>
        <v>0</v>
      </c>
      <c r="N105" s="31">
        <v>0.28978999999999999</v>
      </c>
      <c r="O105" s="31">
        <f>G105*N105</f>
        <v>6.0855899999999997E-2</v>
      </c>
      <c r="P105" s="33" t="s">
        <v>57</v>
      </c>
      <c r="Z105" s="31">
        <f>IF(AQ105="5",BJ105,0)</f>
        <v>0</v>
      </c>
      <c r="AB105" s="31">
        <f>IF(AQ105="1",BH105,0)</f>
        <v>0</v>
      </c>
      <c r="AC105" s="31">
        <f>IF(AQ105="1",BI105,0)</f>
        <v>0</v>
      </c>
      <c r="AD105" s="31">
        <f>IF(AQ105="7",BH105,0)</f>
        <v>0</v>
      </c>
      <c r="AE105" s="31">
        <f>IF(AQ105="7",BI105,0)</f>
        <v>0</v>
      </c>
      <c r="AF105" s="31">
        <f>IF(AQ105="2",BH105,0)</f>
        <v>0</v>
      </c>
      <c r="AG105" s="31">
        <f>IF(AQ105="2",BI105,0)</f>
        <v>0</v>
      </c>
      <c r="AH105" s="31">
        <f>IF(AQ105="0",BJ105,0)</f>
        <v>0</v>
      </c>
      <c r="AI105" s="12" t="s">
        <v>49</v>
      </c>
      <c r="AJ105" s="31">
        <f>IF(AN105=0,L105,0)</f>
        <v>0</v>
      </c>
      <c r="AK105" s="31">
        <f>IF(AN105=12,L105,0)</f>
        <v>0</v>
      </c>
      <c r="AL105" s="31">
        <f>IF(AN105=21,L105,0)</f>
        <v>0</v>
      </c>
      <c r="AN105" s="31">
        <v>21</v>
      </c>
      <c r="AO105" s="31">
        <f>H105*0.365006424</f>
        <v>0</v>
      </c>
      <c r="AP105" s="31">
        <f>H105*(1-0.365006424)</f>
        <v>0</v>
      </c>
      <c r="AQ105" s="32" t="s">
        <v>52</v>
      </c>
      <c r="AV105" s="31">
        <f>AW105+AX105</f>
        <v>0</v>
      </c>
      <c r="AW105" s="31">
        <f>G105*AO105</f>
        <v>0</v>
      </c>
      <c r="AX105" s="31">
        <f>G105*AP105</f>
        <v>0</v>
      </c>
      <c r="AY105" s="32" t="s">
        <v>276</v>
      </c>
      <c r="AZ105" s="32" t="s">
        <v>277</v>
      </c>
      <c r="BA105" s="12" t="s">
        <v>60</v>
      </c>
      <c r="BC105" s="31">
        <f>AW105+AX105</f>
        <v>0</v>
      </c>
      <c r="BD105" s="31">
        <f>H105/(100-BE105)*100</f>
        <v>0</v>
      </c>
      <c r="BE105" s="31">
        <v>0</v>
      </c>
      <c r="BF105" s="31">
        <f>O105</f>
        <v>6.0855899999999997E-2</v>
      </c>
      <c r="BH105" s="31">
        <f>G105*AO105</f>
        <v>0</v>
      </c>
      <c r="BI105" s="31">
        <f>G105*AP105</f>
        <v>0</v>
      </c>
      <c r="BJ105" s="31">
        <f>G105*H105</f>
        <v>0</v>
      </c>
      <c r="BK105" s="31"/>
      <c r="BL105" s="31">
        <v>41</v>
      </c>
      <c r="BW105" s="31" t="str">
        <f>I105</f>
        <v>21</v>
      </c>
      <c r="BX105" s="4" t="s">
        <v>275</v>
      </c>
    </row>
    <row r="106" spans="1:76" ht="14.35" x14ac:dyDescent="0.5">
      <c r="A106" s="34"/>
      <c r="D106" s="35" t="s">
        <v>278</v>
      </c>
      <c r="E106" s="35" t="s">
        <v>279</v>
      </c>
      <c r="G106" s="36">
        <v>0.15</v>
      </c>
      <c r="P106" s="37"/>
    </row>
    <row r="107" spans="1:76" ht="14.35" x14ac:dyDescent="0.5">
      <c r="A107" s="34"/>
      <c r="D107" s="35" t="s">
        <v>280</v>
      </c>
      <c r="E107" s="35" t="s">
        <v>281</v>
      </c>
      <c r="G107" s="36">
        <v>0.06</v>
      </c>
      <c r="P107" s="37"/>
    </row>
    <row r="108" spans="1:76" ht="14.35" x14ac:dyDescent="0.5">
      <c r="A108" s="2" t="s">
        <v>282</v>
      </c>
      <c r="B108" s="3" t="s">
        <v>49</v>
      </c>
      <c r="C108" s="3" t="s">
        <v>283</v>
      </c>
      <c r="D108" s="72" t="s">
        <v>284</v>
      </c>
      <c r="E108" s="73"/>
      <c r="F108" s="3" t="s">
        <v>179</v>
      </c>
      <c r="G108" s="31">
        <v>180</v>
      </c>
      <c r="H108" s="71"/>
      <c r="I108" s="32" t="s">
        <v>56</v>
      </c>
      <c r="J108" s="31">
        <f>G108*AO108</f>
        <v>0</v>
      </c>
      <c r="K108" s="31">
        <f>G108*AP108</f>
        <v>0</v>
      </c>
      <c r="L108" s="31">
        <f>G108*H108</f>
        <v>0</v>
      </c>
      <c r="M108" s="31">
        <f>L108*(1+BW108/100)</f>
        <v>0</v>
      </c>
      <c r="N108" s="31">
        <v>6.1190000000000001E-2</v>
      </c>
      <c r="O108" s="31">
        <f>G108*N108</f>
        <v>11.014200000000001</v>
      </c>
      <c r="P108" s="33" t="s">
        <v>57</v>
      </c>
      <c r="Z108" s="31">
        <f>IF(AQ108="5",BJ108,0)</f>
        <v>0</v>
      </c>
      <c r="AB108" s="31">
        <f>IF(AQ108="1",BH108,0)</f>
        <v>0</v>
      </c>
      <c r="AC108" s="31">
        <f>IF(AQ108="1",BI108,0)</f>
        <v>0</v>
      </c>
      <c r="AD108" s="31">
        <f>IF(AQ108="7",BH108,0)</f>
        <v>0</v>
      </c>
      <c r="AE108" s="31">
        <f>IF(AQ108="7",BI108,0)</f>
        <v>0</v>
      </c>
      <c r="AF108" s="31">
        <f>IF(AQ108="2",BH108,0)</f>
        <v>0</v>
      </c>
      <c r="AG108" s="31">
        <f>IF(AQ108="2",BI108,0)</f>
        <v>0</v>
      </c>
      <c r="AH108" s="31">
        <f>IF(AQ108="0",BJ108,0)</f>
        <v>0</v>
      </c>
      <c r="AI108" s="12" t="s">
        <v>49</v>
      </c>
      <c r="AJ108" s="31">
        <f>IF(AN108=0,L108,0)</f>
        <v>0</v>
      </c>
      <c r="AK108" s="31">
        <f>IF(AN108=12,L108,0)</f>
        <v>0</v>
      </c>
      <c r="AL108" s="31">
        <f>IF(AN108=21,L108,0)</f>
        <v>0</v>
      </c>
      <c r="AN108" s="31">
        <v>21</v>
      </c>
      <c r="AO108" s="31">
        <f>H108*0.523574624</f>
        <v>0</v>
      </c>
      <c r="AP108" s="31">
        <f>H108*(1-0.523574624)</f>
        <v>0</v>
      </c>
      <c r="AQ108" s="32" t="s">
        <v>52</v>
      </c>
      <c r="AV108" s="31">
        <f>AW108+AX108</f>
        <v>0</v>
      </c>
      <c r="AW108" s="31">
        <f>G108*AO108</f>
        <v>0</v>
      </c>
      <c r="AX108" s="31">
        <f>G108*AP108</f>
        <v>0</v>
      </c>
      <c r="AY108" s="32" t="s">
        <v>276</v>
      </c>
      <c r="AZ108" s="32" t="s">
        <v>277</v>
      </c>
      <c r="BA108" s="12" t="s">
        <v>60</v>
      </c>
      <c r="BC108" s="31">
        <f>AW108+AX108</f>
        <v>0</v>
      </c>
      <c r="BD108" s="31">
        <f>H108/(100-BE108)*100</f>
        <v>0</v>
      </c>
      <c r="BE108" s="31">
        <v>0</v>
      </c>
      <c r="BF108" s="31">
        <f>O108</f>
        <v>11.014200000000001</v>
      </c>
      <c r="BH108" s="31">
        <f>G108*AO108</f>
        <v>0</v>
      </c>
      <c r="BI108" s="31">
        <f>G108*AP108</f>
        <v>0</v>
      </c>
      <c r="BJ108" s="31">
        <f>G108*H108</f>
        <v>0</v>
      </c>
      <c r="BK108" s="31"/>
      <c r="BL108" s="31">
        <v>41</v>
      </c>
      <c r="BW108" s="31" t="str">
        <f>I108</f>
        <v>21</v>
      </c>
      <c r="BX108" s="4" t="s">
        <v>284</v>
      </c>
    </row>
    <row r="109" spans="1:76" ht="14.35" x14ac:dyDescent="0.5">
      <c r="A109" s="34"/>
      <c r="D109" s="35" t="s">
        <v>285</v>
      </c>
      <c r="E109" s="35" t="s">
        <v>286</v>
      </c>
      <c r="G109" s="36">
        <v>180</v>
      </c>
      <c r="P109" s="37"/>
    </row>
    <row r="110" spans="1:76" ht="14.35" x14ac:dyDescent="0.5">
      <c r="A110" s="2" t="s">
        <v>287</v>
      </c>
      <c r="B110" s="3" t="s">
        <v>49</v>
      </c>
      <c r="C110" s="3" t="s">
        <v>288</v>
      </c>
      <c r="D110" s="72" t="s">
        <v>289</v>
      </c>
      <c r="E110" s="73"/>
      <c r="F110" s="3" t="s">
        <v>290</v>
      </c>
      <c r="G110" s="31">
        <v>0.11</v>
      </c>
      <c r="H110" s="71"/>
      <c r="I110" s="32" t="s">
        <v>56</v>
      </c>
      <c r="J110" s="31">
        <f>G110*AO110</f>
        <v>0</v>
      </c>
      <c r="K110" s="31">
        <f>G110*AP110</f>
        <v>0</v>
      </c>
      <c r="L110" s="31">
        <f>G110*H110</f>
        <v>0</v>
      </c>
      <c r="M110" s="31">
        <f>L110*(1+BW110/100)</f>
        <v>0</v>
      </c>
      <c r="N110" s="31">
        <v>1.6629999999999999E-2</v>
      </c>
      <c r="O110" s="31">
        <f>G110*N110</f>
        <v>1.8292999999999998E-3</v>
      </c>
      <c r="P110" s="33" t="s">
        <v>57</v>
      </c>
      <c r="Z110" s="31">
        <f>IF(AQ110="5",BJ110,0)</f>
        <v>0</v>
      </c>
      <c r="AB110" s="31">
        <f>IF(AQ110="1",BH110,0)</f>
        <v>0</v>
      </c>
      <c r="AC110" s="31">
        <f>IF(AQ110="1",BI110,0)</f>
        <v>0</v>
      </c>
      <c r="AD110" s="31">
        <f>IF(AQ110="7",BH110,0)</f>
        <v>0</v>
      </c>
      <c r="AE110" s="31">
        <f>IF(AQ110="7",BI110,0)</f>
        <v>0</v>
      </c>
      <c r="AF110" s="31">
        <f>IF(AQ110="2",BH110,0)</f>
        <v>0</v>
      </c>
      <c r="AG110" s="31">
        <f>IF(AQ110="2",BI110,0)</f>
        <v>0</v>
      </c>
      <c r="AH110" s="31">
        <f>IF(AQ110="0",BJ110,0)</f>
        <v>0</v>
      </c>
      <c r="AI110" s="12" t="s">
        <v>49</v>
      </c>
      <c r="AJ110" s="31">
        <f>IF(AN110=0,L110,0)</f>
        <v>0</v>
      </c>
      <c r="AK110" s="31">
        <f>IF(AN110=12,L110,0)</f>
        <v>0</v>
      </c>
      <c r="AL110" s="31">
        <f>IF(AN110=21,L110,0)</f>
        <v>0</v>
      </c>
      <c r="AN110" s="31">
        <v>21</v>
      </c>
      <c r="AO110" s="31">
        <f>H110*0.002464587</f>
        <v>0</v>
      </c>
      <c r="AP110" s="31">
        <f>H110*(1-0.002464587)</f>
        <v>0</v>
      </c>
      <c r="AQ110" s="32" t="s">
        <v>52</v>
      </c>
      <c r="AV110" s="31">
        <f>AW110+AX110</f>
        <v>0</v>
      </c>
      <c r="AW110" s="31">
        <f>G110*AO110</f>
        <v>0</v>
      </c>
      <c r="AX110" s="31">
        <f>G110*AP110</f>
        <v>0</v>
      </c>
      <c r="AY110" s="32" t="s">
        <v>276</v>
      </c>
      <c r="AZ110" s="32" t="s">
        <v>277</v>
      </c>
      <c r="BA110" s="12" t="s">
        <v>60</v>
      </c>
      <c r="BC110" s="31">
        <f>AW110+AX110</f>
        <v>0</v>
      </c>
      <c r="BD110" s="31">
        <f>H110/(100-BE110)*100</f>
        <v>0</v>
      </c>
      <c r="BE110" s="31">
        <v>0</v>
      </c>
      <c r="BF110" s="31">
        <f>O110</f>
        <v>1.8292999999999998E-3</v>
      </c>
      <c r="BH110" s="31">
        <f>G110*AO110</f>
        <v>0</v>
      </c>
      <c r="BI110" s="31">
        <f>G110*AP110</f>
        <v>0</v>
      </c>
      <c r="BJ110" s="31">
        <f>G110*H110</f>
        <v>0</v>
      </c>
      <c r="BK110" s="31"/>
      <c r="BL110" s="31">
        <v>41</v>
      </c>
      <c r="BW110" s="31" t="str">
        <f>I110</f>
        <v>21</v>
      </c>
      <c r="BX110" s="4" t="s">
        <v>289</v>
      </c>
    </row>
    <row r="111" spans="1:76" ht="14.35" x14ac:dyDescent="0.5">
      <c r="A111" s="34"/>
      <c r="D111" s="35" t="s">
        <v>291</v>
      </c>
      <c r="E111" s="35" t="s">
        <v>49</v>
      </c>
      <c r="G111" s="36">
        <v>0.11</v>
      </c>
      <c r="P111" s="37"/>
    </row>
    <row r="112" spans="1:76" ht="14.35" x14ac:dyDescent="0.5">
      <c r="A112" s="2" t="s">
        <v>292</v>
      </c>
      <c r="B112" s="3" t="s">
        <v>49</v>
      </c>
      <c r="C112" s="3" t="s">
        <v>293</v>
      </c>
      <c r="D112" s="72" t="s">
        <v>294</v>
      </c>
      <c r="E112" s="73"/>
      <c r="F112" s="3" t="s">
        <v>290</v>
      </c>
      <c r="G112" s="31">
        <v>0.12</v>
      </c>
      <c r="H112" s="71"/>
      <c r="I112" s="32" t="s">
        <v>56</v>
      </c>
      <c r="J112" s="31">
        <f>G112*AO112</f>
        <v>0</v>
      </c>
      <c r="K112" s="31">
        <f>G112*AP112</f>
        <v>0</v>
      </c>
      <c r="L112" s="31">
        <f>G112*H112</f>
        <v>0</v>
      </c>
      <c r="M112" s="31">
        <f>L112*(1+BW112/100)</f>
        <v>0</v>
      </c>
      <c r="N112" s="31">
        <v>1</v>
      </c>
      <c r="O112" s="31">
        <f>G112*N112</f>
        <v>0.12</v>
      </c>
      <c r="P112" s="33" t="s">
        <v>57</v>
      </c>
      <c r="Z112" s="31">
        <f>IF(AQ112="5",BJ112,0)</f>
        <v>0</v>
      </c>
      <c r="AB112" s="31">
        <f>IF(AQ112="1",BH112,0)</f>
        <v>0</v>
      </c>
      <c r="AC112" s="31">
        <f>IF(AQ112="1",BI112,0)</f>
        <v>0</v>
      </c>
      <c r="AD112" s="31">
        <f>IF(AQ112="7",BH112,0)</f>
        <v>0</v>
      </c>
      <c r="AE112" s="31">
        <f>IF(AQ112="7",BI112,0)</f>
        <v>0</v>
      </c>
      <c r="AF112" s="31">
        <f>IF(AQ112="2",BH112,0)</f>
        <v>0</v>
      </c>
      <c r="AG112" s="31">
        <f>IF(AQ112="2",BI112,0)</f>
        <v>0</v>
      </c>
      <c r="AH112" s="31">
        <f>IF(AQ112="0",BJ112,0)</f>
        <v>0</v>
      </c>
      <c r="AI112" s="12" t="s">
        <v>49</v>
      </c>
      <c r="AJ112" s="31">
        <f>IF(AN112=0,L112,0)</f>
        <v>0</v>
      </c>
      <c r="AK112" s="31">
        <f>IF(AN112=12,L112,0)</f>
        <v>0</v>
      </c>
      <c r="AL112" s="31">
        <f>IF(AN112=21,L112,0)</f>
        <v>0</v>
      </c>
      <c r="AN112" s="31">
        <v>21</v>
      </c>
      <c r="AO112" s="31">
        <f>H112*1</f>
        <v>0</v>
      </c>
      <c r="AP112" s="31">
        <f>H112*(1-1)</f>
        <v>0</v>
      </c>
      <c r="AQ112" s="32" t="s">
        <v>52</v>
      </c>
      <c r="AV112" s="31">
        <f>AW112+AX112</f>
        <v>0</v>
      </c>
      <c r="AW112" s="31">
        <f>G112*AO112</f>
        <v>0</v>
      </c>
      <c r="AX112" s="31">
        <f>G112*AP112</f>
        <v>0</v>
      </c>
      <c r="AY112" s="32" t="s">
        <v>276</v>
      </c>
      <c r="AZ112" s="32" t="s">
        <v>277</v>
      </c>
      <c r="BA112" s="12" t="s">
        <v>60</v>
      </c>
      <c r="BC112" s="31">
        <f>AW112+AX112</f>
        <v>0</v>
      </c>
      <c r="BD112" s="31">
        <f>H112/(100-BE112)*100</f>
        <v>0</v>
      </c>
      <c r="BE112" s="31">
        <v>0</v>
      </c>
      <c r="BF112" s="31">
        <f>O112</f>
        <v>0.12</v>
      </c>
      <c r="BH112" s="31">
        <f>G112*AO112</f>
        <v>0</v>
      </c>
      <c r="BI112" s="31">
        <f>G112*AP112</f>
        <v>0</v>
      </c>
      <c r="BJ112" s="31">
        <f>G112*H112</f>
        <v>0</v>
      </c>
      <c r="BK112" s="31"/>
      <c r="BL112" s="31">
        <v>41</v>
      </c>
      <c r="BW112" s="31" t="str">
        <f>I112</f>
        <v>21</v>
      </c>
      <c r="BX112" s="4" t="s">
        <v>294</v>
      </c>
    </row>
    <row r="113" spans="1:76" ht="14.35" x14ac:dyDescent="0.5">
      <c r="A113" s="34"/>
      <c r="D113" s="35" t="s">
        <v>291</v>
      </c>
      <c r="E113" s="35" t="s">
        <v>49</v>
      </c>
      <c r="G113" s="36">
        <v>0.11</v>
      </c>
      <c r="P113" s="37"/>
    </row>
    <row r="114" spans="1:76" ht="14.35" x14ac:dyDescent="0.5">
      <c r="A114" s="34"/>
      <c r="D114" s="35" t="s">
        <v>295</v>
      </c>
      <c r="E114" s="35" t="s">
        <v>49</v>
      </c>
      <c r="G114" s="36">
        <v>0.01</v>
      </c>
      <c r="P114" s="37"/>
    </row>
    <row r="115" spans="1:76" ht="14.35" x14ac:dyDescent="0.5">
      <c r="A115" s="2" t="s">
        <v>296</v>
      </c>
      <c r="B115" s="3" t="s">
        <v>49</v>
      </c>
      <c r="C115" s="3" t="s">
        <v>297</v>
      </c>
      <c r="D115" s="72" t="s">
        <v>298</v>
      </c>
      <c r="E115" s="73"/>
      <c r="F115" s="3" t="s">
        <v>125</v>
      </c>
      <c r="G115" s="31">
        <v>8.9499999999999993</v>
      </c>
      <c r="H115" s="71"/>
      <c r="I115" s="32" t="s">
        <v>56</v>
      </c>
      <c r="J115" s="31">
        <f>G115*AO115</f>
        <v>0</v>
      </c>
      <c r="K115" s="31">
        <f>G115*AP115</f>
        <v>0</v>
      </c>
      <c r="L115" s="31">
        <f>G115*H115</f>
        <v>0</v>
      </c>
      <c r="M115" s="31">
        <f>L115*(1+BW115/100)</f>
        <v>0</v>
      </c>
      <c r="N115" s="31">
        <v>0.57859000000000005</v>
      </c>
      <c r="O115" s="31">
        <f>G115*N115</f>
        <v>5.1783805000000003</v>
      </c>
      <c r="P115" s="33" t="s">
        <v>57</v>
      </c>
      <c r="Z115" s="31">
        <f>IF(AQ115="5",BJ115,0)</f>
        <v>0</v>
      </c>
      <c r="AB115" s="31">
        <f>IF(AQ115="1",BH115,0)</f>
        <v>0</v>
      </c>
      <c r="AC115" s="31">
        <f>IF(AQ115="1",BI115,0)</f>
        <v>0</v>
      </c>
      <c r="AD115" s="31">
        <f>IF(AQ115="7",BH115,0)</f>
        <v>0</v>
      </c>
      <c r="AE115" s="31">
        <f>IF(AQ115="7",BI115,0)</f>
        <v>0</v>
      </c>
      <c r="AF115" s="31">
        <f>IF(AQ115="2",BH115,0)</f>
        <v>0</v>
      </c>
      <c r="AG115" s="31">
        <f>IF(AQ115="2",BI115,0)</f>
        <v>0</v>
      </c>
      <c r="AH115" s="31">
        <f>IF(AQ115="0",BJ115,0)</f>
        <v>0</v>
      </c>
      <c r="AI115" s="12" t="s">
        <v>49</v>
      </c>
      <c r="AJ115" s="31">
        <f>IF(AN115=0,L115,0)</f>
        <v>0</v>
      </c>
      <c r="AK115" s="31">
        <f>IF(AN115=12,L115,0)</f>
        <v>0</v>
      </c>
      <c r="AL115" s="31">
        <f>IF(AN115=21,L115,0)</f>
        <v>0</v>
      </c>
      <c r="AN115" s="31">
        <v>21</v>
      </c>
      <c r="AO115" s="31">
        <f>H115*0.460116317</f>
        <v>0</v>
      </c>
      <c r="AP115" s="31">
        <f>H115*(1-0.460116317)</f>
        <v>0</v>
      </c>
      <c r="AQ115" s="32" t="s">
        <v>52</v>
      </c>
      <c r="AV115" s="31">
        <f>AW115+AX115</f>
        <v>0</v>
      </c>
      <c r="AW115" s="31">
        <f>G115*AO115</f>
        <v>0</v>
      </c>
      <c r="AX115" s="31">
        <f>G115*AP115</f>
        <v>0</v>
      </c>
      <c r="AY115" s="32" t="s">
        <v>276</v>
      </c>
      <c r="AZ115" s="32" t="s">
        <v>277</v>
      </c>
      <c r="BA115" s="12" t="s">
        <v>60</v>
      </c>
      <c r="BC115" s="31">
        <f>AW115+AX115</f>
        <v>0</v>
      </c>
      <c r="BD115" s="31">
        <f>H115/(100-BE115)*100</f>
        <v>0</v>
      </c>
      <c r="BE115" s="31">
        <v>0</v>
      </c>
      <c r="BF115" s="31">
        <f>O115</f>
        <v>5.1783805000000003</v>
      </c>
      <c r="BH115" s="31">
        <f>G115*AO115</f>
        <v>0</v>
      </c>
      <c r="BI115" s="31">
        <f>G115*AP115</f>
        <v>0</v>
      </c>
      <c r="BJ115" s="31">
        <f>G115*H115</f>
        <v>0</v>
      </c>
      <c r="BK115" s="31"/>
      <c r="BL115" s="31">
        <v>41</v>
      </c>
      <c r="BW115" s="31" t="str">
        <f>I115</f>
        <v>21</v>
      </c>
      <c r="BX115" s="4" t="s">
        <v>298</v>
      </c>
    </row>
    <row r="116" spans="1:76" ht="14.35" x14ac:dyDescent="0.5">
      <c r="A116" s="34"/>
      <c r="D116" s="35" t="s">
        <v>299</v>
      </c>
      <c r="E116" s="35" t="s">
        <v>300</v>
      </c>
      <c r="G116" s="36">
        <v>2.0699999999999998</v>
      </c>
      <c r="P116" s="37"/>
    </row>
    <row r="117" spans="1:76" ht="14.35" x14ac:dyDescent="0.5">
      <c r="A117" s="34"/>
      <c r="D117" s="35" t="s">
        <v>301</v>
      </c>
      <c r="E117" s="35" t="s">
        <v>302</v>
      </c>
      <c r="G117" s="36">
        <v>2.41</v>
      </c>
      <c r="P117" s="37"/>
    </row>
    <row r="118" spans="1:76" ht="14.35" x14ac:dyDescent="0.5">
      <c r="A118" s="34"/>
      <c r="D118" s="35" t="s">
        <v>303</v>
      </c>
      <c r="E118" s="35" t="s">
        <v>304</v>
      </c>
      <c r="G118" s="36">
        <v>4.47</v>
      </c>
      <c r="P118" s="37"/>
    </row>
    <row r="119" spans="1:76" ht="14.35" x14ac:dyDescent="0.5">
      <c r="A119" s="2" t="s">
        <v>305</v>
      </c>
      <c r="B119" s="3" t="s">
        <v>49</v>
      </c>
      <c r="C119" s="3" t="s">
        <v>306</v>
      </c>
      <c r="D119" s="72" t="s">
        <v>307</v>
      </c>
      <c r="E119" s="73"/>
      <c r="F119" s="3" t="s">
        <v>125</v>
      </c>
      <c r="G119" s="31">
        <v>8.9499999999999993</v>
      </c>
      <c r="H119" s="71"/>
      <c r="I119" s="32" t="s">
        <v>56</v>
      </c>
      <c r="J119" s="31">
        <f>G119*AO119</f>
        <v>0</v>
      </c>
      <c r="K119" s="31">
        <f>G119*AP119</f>
        <v>0</v>
      </c>
      <c r="L119" s="31">
        <f>G119*H119</f>
        <v>0</v>
      </c>
      <c r="M119" s="31">
        <f>L119*(1+BW119/100)</f>
        <v>0</v>
      </c>
      <c r="N119" s="31">
        <v>1.1350000000000001E-2</v>
      </c>
      <c r="O119" s="31">
        <f>G119*N119</f>
        <v>0.10158249999999999</v>
      </c>
      <c r="P119" s="33" t="s">
        <v>57</v>
      </c>
      <c r="Z119" s="31">
        <f>IF(AQ119="5",BJ119,0)</f>
        <v>0</v>
      </c>
      <c r="AB119" s="31">
        <f>IF(AQ119="1",BH119,0)</f>
        <v>0</v>
      </c>
      <c r="AC119" s="31">
        <f>IF(AQ119="1",BI119,0)</f>
        <v>0</v>
      </c>
      <c r="AD119" s="31">
        <f>IF(AQ119="7",BH119,0)</f>
        <v>0</v>
      </c>
      <c r="AE119" s="31">
        <f>IF(AQ119="7",BI119,0)</f>
        <v>0</v>
      </c>
      <c r="AF119" s="31">
        <f>IF(AQ119="2",BH119,0)</f>
        <v>0</v>
      </c>
      <c r="AG119" s="31">
        <f>IF(AQ119="2",BI119,0)</f>
        <v>0</v>
      </c>
      <c r="AH119" s="31">
        <f>IF(AQ119="0",BJ119,0)</f>
        <v>0</v>
      </c>
      <c r="AI119" s="12" t="s">
        <v>49</v>
      </c>
      <c r="AJ119" s="31">
        <f>IF(AN119=0,L119,0)</f>
        <v>0</v>
      </c>
      <c r="AK119" s="31">
        <f>IF(AN119=12,L119,0)</f>
        <v>0</v>
      </c>
      <c r="AL119" s="31">
        <f>IF(AN119=21,L119,0)</f>
        <v>0</v>
      </c>
      <c r="AN119" s="31">
        <v>21</v>
      </c>
      <c r="AO119" s="31">
        <f>H119*0.239656295</f>
        <v>0</v>
      </c>
      <c r="AP119" s="31">
        <f>H119*(1-0.239656295)</f>
        <v>0</v>
      </c>
      <c r="AQ119" s="32" t="s">
        <v>52</v>
      </c>
      <c r="AV119" s="31">
        <f>AW119+AX119</f>
        <v>0</v>
      </c>
      <c r="AW119" s="31">
        <f>G119*AO119</f>
        <v>0</v>
      </c>
      <c r="AX119" s="31">
        <f>G119*AP119</f>
        <v>0</v>
      </c>
      <c r="AY119" s="32" t="s">
        <v>276</v>
      </c>
      <c r="AZ119" s="32" t="s">
        <v>277</v>
      </c>
      <c r="BA119" s="12" t="s">
        <v>60</v>
      </c>
      <c r="BC119" s="31">
        <f>AW119+AX119</f>
        <v>0</v>
      </c>
      <c r="BD119" s="31">
        <f>H119/(100-BE119)*100</f>
        <v>0</v>
      </c>
      <c r="BE119" s="31">
        <v>0</v>
      </c>
      <c r="BF119" s="31">
        <f>O119</f>
        <v>0.10158249999999999</v>
      </c>
      <c r="BH119" s="31">
        <f>G119*AO119</f>
        <v>0</v>
      </c>
      <c r="BI119" s="31">
        <f>G119*AP119</f>
        <v>0</v>
      </c>
      <c r="BJ119" s="31">
        <f>G119*H119</f>
        <v>0</v>
      </c>
      <c r="BK119" s="31"/>
      <c r="BL119" s="31">
        <v>41</v>
      </c>
      <c r="BW119" s="31" t="str">
        <f>I119</f>
        <v>21</v>
      </c>
      <c r="BX119" s="4" t="s">
        <v>307</v>
      </c>
    </row>
    <row r="120" spans="1:76" ht="14.35" x14ac:dyDescent="0.5">
      <c r="A120" s="2" t="s">
        <v>308</v>
      </c>
      <c r="B120" s="3" t="s">
        <v>49</v>
      </c>
      <c r="C120" s="3" t="s">
        <v>309</v>
      </c>
      <c r="D120" s="72" t="s">
        <v>310</v>
      </c>
      <c r="E120" s="73"/>
      <c r="F120" s="3" t="s">
        <v>125</v>
      </c>
      <c r="G120" s="31">
        <v>8.9499999999999993</v>
      </c>
      <c r="H120" s="71"/>
      <c r="I120" s="32" t="s">
        <v>56</v>
      </c>
      <c r="J120" s="31">
        <f>G120*AO120</f>
        <v>0</v>
      </c>
      <c r="K120" s="31">
        <f>G120*AP120</f>
        <v>0</v>
      </c>
      <c r="L120" s="31">
        <f>G120*H120</f>
        <v>0</v>
      </c>
      <c r="M120" s="31">
        <f>L120*(1+BW120/100)</f>
        <v>0</v>
      </c>
      <c r="N120" s="31">
        <v>0</v>
      </c>
      <c r="O120" s="31">
        <f>G120*N120</f>
        <v>0</v>
      </c>
      <c r="P120" s="33" t="s">
        <v>57</v>
      </c>
      <c r="Z120" s="31">
        <f>IF(AQ120="5",BJ120,0)</f>
        <v>0</v>
      </c>
      <c r="AB120" s="31">
        <f>IF(AQ120="1",BH120,0)</f>
        <v>0</v>
      </c>
      <c r="AC120" s="31">
        <f>IF(AQ120="1",BI120,0)</f>
        <v>0</v>
      </c>
      <c r="AD120" s="31">
        <f>IF(AQ120="7",BH120,0)</f>
        <v>0</v>
      </c>
      <c r="AE120" s="31">
        <f>IF(AQ120="7",BI120,0)</f>
        <v>0</v>
      </c>
      <c r="AF120" s="31">
        <f>IF(AQ120="2",BH120,0)</f>
        <v>0</v>
      </c>
      <c r="AG120" s="31">
        <f>IF(AQ120="2",BI120,0)</f>
        <v>0</v>
      </c>
      <c r="AH120" s="31">
        <f>IF(AQ120="0",BJ120,0)</f>
        <v>0</v>
      </c>
      <c r="AI120" s="12" t="s">
        <v>49</v>
      </c>
      <c r="AJ120" s="31">
        <f>IF(AN120=0,L120,0)</f>
        <v>0</v>
      </c>
      <c r="AK120" s="31">
        <f>IF(AN120=12,L120,0)</f>
        <v>0</v>
      </c>
      <c r="AL120" s="31">
        <f>IF(AN120=21,L120,0)</f>
        <v>0</v>
      </c>
      <c r="AN120" s="31">
        <v>21</v>
      </c>
      <c r="AO120" s="31">
        <f>H120*0</f>
        <v>0</v>
      </c>
      <c r="AP120" s="31">
        <f>H120*(1-0)</f>
        <v>0</v>
      </c>
      <c r="AQ120" s="32" t="s">
        <v>52</v>
      </c>
      <c r="AV120" s="31">
        <f>AW120+AX120</f>
        <v>0</v>
      </c>
      <c r="AW120" s="31">
        <f>G120*AO120</f>
        <v>0</v>
      </c>
      <c r="AX120" s="31">
        <f>G120*AP120</f>
        <v>0</v>
      </c>
      <c r="AY120" s="32" t="s">
        <v>276</v>
      </c>
      <c r="AZ120" s="32" t="s">
        <v>277</v>
      </c>
      <c r="BA120" s="12" t="s">
        <v>60</v>
      </c>
      <c r="BC120" s="31">
        <f>AW120+AX120</f>
        <v>0</v>
      </c>
      <c r="BD120" s="31">
        <f>H120/(100-BE120)*100</f>
        <v>0</v>
      </c>
      <c r="BE120" s="31">
        <v>0</v>
      </c>
      <c r="BF120" s="31">
        <f>O120</f>
        <v>0</v>
      </c>
      <c r="BH120" s="31">
        <f>G120*AO120</f>
        <v>0</v>
      </c>
      <c r="BI120" s="31">
        <f>G120*AP120</f>
        <v>0</v>
      </c>
      <c r="BJ120" s="31">
        <f>G120*H120</f>
        <v>0</v>
      </c>
      <c r="BK120" s="31"/>
      <c r="BL120" s="31">
        <v>41</v>
      </c>
      <c r="BW120" s="31" t="str">
        <f>I120</f>
        <v>21</v>
      </c>
      <c r="BX120" s="4" t="s">
        <v>310</v>
      </c>
    </row>
    <row r="121" spans="1:76" ht="14.35" x14ac:dyDescent="0.5">
      <c r="A121" s="2" t="s">
        <v>311</v>
      </c>
      <c r="B121" s="3" t="s">
        <v>49</v>
      </c>
      <c r="C121" s="3" t="s">
        <v>312</v>
      </c>
      <c r="D121" s="72" t="s">
        <v>313</v>
      </c>
      <c r="E121" s="73"/>
      <c r="F121" s="3" t="s">
        <v>125</v>
      </c>
      <c r="G121" s="31">
        <v>8.9499999999999993</v>
      </c>
      <c r="H121" s="71"/>
      <c r="I121" s="32" t="s">
        <v>56</v>
      </c>
      <c r="J121" s="31">
        <f>G121*AO121</f>
        <v>0</v>
      </c>
      <c r="K121" s="31">
        <f>G121*AP121</f>
        <v>0</v>
      </c>
      <c r="L121" s="31">
        <f>G121*H121</f>
        <v>0</v>
      </c>
      <c r="M121" s="31">
        <f>L121*(1+BW121/100)</f>
        <v>0</v>
      </c>
      <c r="N121" s="31">
        <v>3.8700000000000002E-3</v>
      </c>
      <c r="O121" s="31">
        <f>G121*N121</f>
        <v>3.4636500000000001E-2</v>
      </c>
      <c r="P121" s="33" t="s">
        <v>57</v>
      </c>
      <c r="Z121" s="31">
        <f>IF(AQ121="5",BJ121,0)</f>
        <v>0</v>
      </c>
      <c r="AB121" s="31">
        <f>IF(AQ121="1",BH121,0)</f>
        <v>0</v>
      </c>
      <c r="AC121" s="31">
        <f>IF(AQ121="1",BI121,0)</f>
        <v>0</v>
      </c>
      <c r="AD121" s="31">
        <f>IF(AQ121="7",BH121,0)</f>
        <v>0</v>
      </c>
      <c r="AE121" s="31">
        <f>IF(AQ121="7",BI121,0)</f>
        <v>0</v>
      </c>
      <c r="AF121" s="31">
        <f>IF(AQ121="2",BH121,0)</f>
        <v>0</v>
      </c>
      <c r="AG121" s="31">
        <f>IF(AQ121="2",BI121,0)</f>
        <v>0</v>
      </c>
      <c r="AH121" s="31">
        <f>IF(AQ121="0",BJ121,0)</f>
        <v>0</v>
      </c>
      <c r="AI121" s="12" t="s">
        <v>49</v>
      </c>
      <c r="AJ121" s="31">
        <f>IF(AN121=0,L121,0)</f>
        <v>0</v>
      </c>
      <c r="AK121" s="31">
        <f>IF(AN121=12,L121,0)</f>
        <v>0</v>
      </c>
      <c r="AL121" s="31">
        <f>IF(AN121=21,L121,0)</f>
        <v>0</v>
      </c>
      <c r="AN121" s="31">
        <v>21</v>
      </c>
      <c r="AO121" s="31">
        <f>H121*0.121134999</f>
        <v>0</v>
      </c>
      <c r="AP121" s="31">
        <f>H121*(1-0.121134999)</f>
        <v>0</v>
      </c>
      <c r="AQ121" s="32" t="s">
        <v>52</v>
      </c>
      <c r="AV121" s="31">
        <f>AW121+AX121</f>
        <v>0</v>
      </c>
      <c r="AW121" s="31">
        <f>G121*AO121</f>
        <v>0</v>
      </c>
      <c r="AX121" s="31">
        <f>G121*AP121</f>
        <v>0</v>
      </c>
      <c r="AY121" s="32" t="s">
        <v>276</v>
      </c>
      <c r="AZ121" s="32" t="s">
        <v>277</v>
      </c>
      <c r="BA121" s="12" t="s">
        <v>60</v>
      </c>
      <c r="BC121" s="31">
        <f>AW121+AX121</f>
        <v>0</v>
      </c>
      <c r="BD121" s="31">
        <f>H121/(100-BE121)*100</f>
        <v>0</v>
      </c>
      <c r="BE121" s="31">
        <v>0</v>
      </c>
      <c r="BF121" s="31">
        <f>O121</f>
        <v>3.4636500000000001E-2</v>
      </c>
      <c r="BH121" s="31">
        <f>G121*AO121</f>
        <v>0</v>
      </c>
      <c r="BI121" s="31">
        <f>G121*AP121</f>
        <v>0</v>
      </c>
      <c r="BJ121" s="31">
        <f>G121*H121</f>
        <v>0</v>
      </c>
      <c r="BK121" s="31"/>
      <c r="BL121" s="31">
        <v>41</v>
      </c>
      <c r="BW121" s="31" t="str">
        <f>I121</f>
        <v>21</v>
      </c>
      <c r="BX121" s="4" t="s">
        <v>313</v>
      </c>
    </row>
    <row r="122" spans="1:76" ht="14.35" x14ac:dyDescent="0.5">
      <c r="A122" s="2" t="s">
        <v>314</v>
      </c>
      <c r="B122" s="3" t="s">
        <v>49</v>
      </c>
      <c r="C122" s="3" t="s">
        <v>315</v>
      </c>
      <c r="D122" s="72" t="s">
        <v>316</v>
      </c>
      <c r="E122" s="73"/>
      <c r="F122" s="3" t="s">
        <v>125</v>
      </c>
      <c r="G122" s="31">
        <v>8.9499999999999993</v>
      </c>
      <c r="H122" s="71"/>
      <c r="I122" s="32" t="s">
        <v>56</v>
      </c>
      <c r="J122" s="31">
        <f>G122*AO122</f>
        <v>0</v>
      </c>
      <c r="K122" s="31">
        <f>G122*AP122</f>
        <v>0</v>
      </c>
      <c r="L122" s="31">
        <f>G122*H122</f>
        <v>0</v>
      </c>
      <c r="M122" s="31">
        <f>L122*(1+BW122/100)</f>
        <v>0</v>
      </c>
      <c r="N122" s="31">
        <v>0</v>
      </c>
      <c r="O122" s="31">
        <f>G122*N122</f>
        <v>0</v>
      </c>
      <c r="P122" s="33" t="s">
        <v>57</v>
      </c>
      <c r="Z122" s="31">
        <f>IF(AQ122="5",BJ122,0)</f>
        <v>0</v>
      </c>
      <c r="AB122" s="31">
        <f>IF(AQ122="1",BH122,0)</f>
        <v>0</v>
      </c>
      <c r="AC122" s="31">
        <f>IF(AQ122="1",BI122,0)</f>
        <v>0</v>
      </c>
      <c r="AD122" s="31">
        <f>IF(AQ122="7",BH122,0)</f>
        <v>0</v>
      </c>
      <c r="AE122" s="31">
        <f>IF(AQ122="7",BI122,0)</f>
        <v>0</v>
      </c>
      <c r="AF122" s="31">
        <f>IF(AQ122="2",BH122,0)</f>
        <v>0</v>
      </c>
      <c r="AG122" s="31">
        <f>IF(AQ122="2",BI122,0)</f>
        <v>0</v>
      </c>
      <c r="AH122" s="31">
        <f>IF(AQ122="0",BJ122,0)</f>
        <v>0</v>
      </c>
      <c r="AI122" s="12" t="s">
        <v>49</v>
      </c>
      <c r="AJ122" s="31">
        <f>IF(AN122=0,L122,0)</f>
        <v>0</v>
      </c>
      <c r="AK122" s="31">
        <f>IF(AN122=12,L122,0)</f>
        <v>0</v>
      </c>
      <c r="AL122" s="31">
        <f>IF(AN122=21,L122,0)</f>
        <v>0</v>
      </c>
      <c r="AN122" s="31">
        <v>21</v>
      </c>
      <c r="AO122" s="31">
        <f>H122*0</f>
        <v>0</v>
      </c>
      <c r="AP122" s="31">
        <f>H122*(1-0)</f>
        <v>0</v>
      </c>
      <c r="AQ122" s="32" t="s">
        <v>52</v>
      </c>
      <c r="AV122" s="31">
        <f>AW122+AX122</f>
        <v>0</v>
      </c>
      <c r="AW122" s="31">
        <f>G122*AO122</f>
        <v>0</v>
      </c>
      <c r="AX122" s="31">
        <f>G122*AP122</f>
        <v>0</v>
      </c>
      <c r="AY122" s="32" t="s">
        <v>276</v>
      </c>
      <c r="AZ122" s="32" t="s">
        <v>277</v>
      </c>
      <c r="BA122" s="12" t="s">
        <v>60</v>
      </c>
      <c r="BC122" s="31">
        <f>AW122+AX122</f>
        <v>0</v>
      </c>
      <c r="BD122" s="31">
        <f>H122/(100-BE122)*100</f>
        <v>0</v>
      </c>
      <c r="BE122" s="31">
        <v>0</v>
      </c>
      <c r="BF122" s="31">
        <f>O122</f>
        <v>0</v>
      </c>
      <c r="BH122" s="31">
        <f>G122*AO122</f>
        <v>0</v>
      </c>
      <c r="BI122" s="31">
        <f>G122*AP122</f>
        <v>0</v>
      </c>
      <c r="BJ122" s="31">
        <f>G122*H122</f>
        <v>0</v>
      </c>
      <c r="BK122" s="31"/>
      <c r="BL122" s="31">
        <v>41</v>
      </c>
      <c r="BW122" s="31" t="str">
        <f>I122</f>
        <v>21</v>
      </c>
      <c r="BX122" s="4" t="s">
        <v>316</v>
      </c>
    </row>
    <row r="123" spans="1:76" ht="14.35" x14ac:dyDescent="0.5">
      <c r="A123" s="38" t="s">
        <v>49</v>
      </c>
      <c r="B123" s="39" t="s">
        <v>49</v>
      </c>
      <c r="C123" s="39" t="s">
        <v>282</v>
      </c>
      <c r="D123" s="126" t="s">
        <v>317</v>
      </c>
      <c r="E123" s="127"/>
      <c r="F123" s="40" t="s">
        <v>3</v>
      </c>
      <c r="G123" s="40" t="s">
        <v>3</v>
      </c>
      <c r="H123" s="40" t="s">
        <v>3</v>
      </c>
      <c r="I123" s="40" t="s">
        <v>3</v>
      </c>
      <c r="J123" s="1">
        <f>SUM(J124:J124)</f>
        <v>0</v>
      </c>
      <c r="K123" s="1">
        <f>SUM(K124:K124)</f>
        <v>0</v>
      </c>
      <c r="L123" s="1">
        <f>SUM(L124:L124)</f>
        <v>0</v>
      </c>
      <c r="M123" s="1">
        <f>SUM(M124:M124)</f>
        <v>0</v>
      </c>
      <c r="N123" s="12" t="s">
        <v>49</v>
      </c>
      <c r="O123" s="1">
        <f>SUM(O124:O124)</f>
        <v>1.249992</v>
      </c>
      <c r="P123" s="41" t="s">
        <v>49</v>
      </c>
      <c r="AI123" s="12" t="s">
        <v>49</v>
      </c>
      <c r="AS123" s="1">
        <f>SUM(AJ124:AJ124)</f>
        <v>0</v>
      </c>
      <c r="AT123" s="1">
        <f>SUM(AK124:AK124)</f>
        <v>0</v>
      </c>
      <c r="AU123" s="1">
        <f>SUM(AL124:AL124)</f>
        <v>0</v>
      </c>
    </row>
    <row r="124" spans="1:76" ht="14.35" x14ac:dyDescent="0.5">
      <c r="A124" s="2" t="s">
        <v>318</v>
      </c>
      <c r="B124" s="3" t="s">
        <v>49</v>
      </c>
      <c r="C124" s="3" t="s">
        <v>319</v>
      </c>
      <c r="D124" s="72" t="s">
        <v>320</v>
      </c>
      <c r="E124" s="73"/>
      <c r="F124" s="3" t="s">
        <v>150</v>
      </c>
      <c r="G124" s="31">
        <v>32.4</v>
      </c>
      <c r="H124" s="71"/>
      <c r="I124" s="32" t="s">
        <v>56</v>
      </c>
      <c r="J124" s="31">
        <f>G124*AO124</f>
        <v>0</v>
      </c>
      <c r="K124" s="31">
        <f>G124*AP124</f>
        <v>0</v>
      </c>
      <c r="L124" s="31">
        <f>G124*H124</f>
        <v>0</v>
      </c>
      <c r="M124" s="31">
        <f>L124*(1+BW124/100)</f>
        <v>0</v>
      </c>
      <c r="N124" s="31">
        <v>3.8580000000000003E-2</v>
      </c>
      <c r="O124" s="31">
        <f>G124*N124</f>
        <v>1.249992</v>
      </c>
      <c r="P124" s="33" t="s">
        <v>57</v>
      </c>
      <c r="Z124" s="31">
        <f>IF(AQ124="5",BJ124,0)</f>
        <v>0</v>
      </c>
      <c r="AB124" s="31">
        <f>IF(AQ124="1",BH124,0)</f>
        <v>0</v>
      </c>
      <c r="AC124" s="31">
        <f>IF(AQ124="1",BI124,0)</f>
        <v>0</v>
      </c>
      <c r="AD124" s="31">
        <f>IF(AQ124="7",BH124,0)</f>
        <v>0</v>
      </c>
      <c r="AE124" s="31">
        <f>IF(AQ124="7",BI124,0)</f>
        <v>0</v>
      </c>
      <c r="AF124" s="31">
        <f>IF(AQ124="2",BH124,0)</f>
        <v>0</v>
      </c>
      <c r="AG124" s="31">
        <f>IF(AQ124="2",BI124,0)</f>
        <v>0</v>
      </c>
      <c r="AH124" s="31">
        <f>IF(AQ124="0",BJ124,0)</f>
        <v>0</v>
      </c>
      <c r="AI124" s="12" t="s">
        <v>49</v>
      </c>
      <c r="AJ124" s="31">
        <f>IF(AN124=0,L124,0)</f>
        <v>0</v>
      </c>
      <c r="AK124" s="31">
        <f>IF(AN124=12,L124,0)</f>
        <v>0</v>
      </c>
      <c r="AL124" s="31">
        <f>IF(AN124=21,L124,0)</f>
        <v>0</v>
      </c>
      <c r="AN124" s="31">
        <v>21</v>
      </c>
      <c r="AO124" s="31">
        <f>H124*0.090274809</f>
        <v>0</v>
      </c>
      <c r="AP124" s="31">
        <f>H124*(1-0.090274809)</f>
        <v>0</v>
      </c>
      <c r="AQ124" s="32" t="s">
        <v>52</v>
      </c>
      <c r="AV124" s="31">
        <f>AW124+AX124</f>
        <v>0</v>
      </c>
      <c r="AW124" s="31">
        <f>G124*AO124</f>
        <v>0</v>
      </c>
      <c r="AX124" s="31">
        <f>G124*AP124</f>
        <v>0</v>
      </c>
      <c r="AY124" s="32" t="s">
        <v>321</v>
      </c>
      <c r="AZ124" s="32" t="s">
        <v>277</v>
      </c>
      <c r="BA124" s="12" t="s">
        <v>60</v>
      </c>
      <c r="BC124" s="31">
        <f>AW124+AX124</f>
        <v>0</v>
      </c>
      <c r="BD124" s="31">
        <f>H124/(100-BE124)*100</f>
        <v>0</v>
      </c>
      <c r="BE124" s="31">
        <v>0</v>
      </c>
      <c r="BF124" s="31">
        <f>O124</f>
        <v>1.249992</v>
      </c>
      <c r="BH124" s="31">
        <f>G124*AO124</f>
        <v>0</v>
      </c>
      <c r="BI124" s="31">
        <f>G124*AP124</f>
        <v>0</v>
      </c>
      <c r="BJ124" s="31">
        <f>G124*H124</f>
        <v>0</v>
      </c>
      <c r="BK124" s="31"/>
      <c r="BL124" s="31">
        <v>43</v>
      </c>
      <c r="BW124" s="31" t="str">
        <f>I124</f>
        <v>21</v>
      </c>
      <c r="BX124" s="4" t="s">
        <v>320</v>
      </c>
    </row>
    <row r="125" spans="1:76" ht="14.35" x14ac:dyDescent="0.5">
      <c r="A125" s="34"/>
      <c r="D125" s="35" t="s">
        <v>322</v>
      </c>
      <c r="E125" s="35" t="s">
        <v>323</v>
      </c>
      <c r="G125" s="36">
        <v>32.4</v>
      </c>
      <c r="P125" s="37"/>
    </row>
    <row r="126" spans="1:76" ht="14.35" x14ac:dyDescent="0.5">
      <c r="A126" s="38" t="s">
        <v>49</v>
      </c>
      <c r="B126" s="39" t="s">
        <v>49</v>
      </c>
      <c r="C126" s="39" t="s">
        <v>296</v>
      </c>
      <c r="D126" s="126" t="s">
        <v>324</v>
      </c>
      <c r="E126" s="127"/>
      <c r="F126" s="40" t="s">
        <v>3</v>
      </c>
      <c r="G126" s="40" t="s">
        <v>3</v>
      </c>
      <c r="H126" s="40" t="s">
        <v>3</v>
      </c>
      <c r="I126" s="40" t="s">
        <v>3</v>
      </c>
      <c r="J126" s="1">
        <f>SUM(J127:J129)</f>
        <v>0</v>
      </c>
      <c r="K126" s="1">
        <f>SUM(K127:K129)</f>
        <v>0</v>
      </c>
      <c r="L126" s="1">
        <f>SUM(L127:L129)</f>
        <v>0</v>
      </c>
      <c r="M126" s="1">
        <f>SUM(M127:M129)</f>
        <v>0</v>
      </c>
      <c r="N126" s="12" t="s">
        <v>49</v>
      </c>
      <c r="O126" s="1">
        <f>SUM(O127:O129)</f>
        <v>8.9860355999999992</v>
      </c>
      <c r="P126" s="41" t="s">
        <v>49</v>
      </c>
      <c r="AI126" s="12" t="s">
        <v>49</v>
      </c>
      <c r="AS126" s="1">
        <f>SUM(AJ127:AJ129)</f>
        <v>0</v>
      </c>
      <c r="AT126" s="1">
        <f>SUM(AK127:AK129)</f>
        <v>0</v>
      </c>
      <c r="AU126" s="1">
        <f>SUM(AL127:AL129)</f>
        <v>0</v>
      </c>
    </row>
    <row r="127" spans="1:76" ht="14.35" x14ac:dyDescent="0.5">
      <c r="A127" s="2" t="s">
        <v>325</v>
      </c>
      <c r="B127" s="3" t="s">
        <v>49</v>
      </c>
      <c r="C127" s="3" t="s">
        <v>326</v>
      </c>
      <c r="D127" s="72" t="s">
        <v>327</v>
      </c>
      <c r="E127" s="73"/>
      <c r="F127" s="3" t="s">
        <v>55</v>
      </c>
      <c r="G127" s="31">
        <v>2.0699999999999998</v>
      </c>
      <c r="H127" s="71"/>
      <c r="I127" s="32" t="s">
        <v>56</v>
      </c>
      <c r="J127" s="31">
        <f>G127*AO127</f>
        <v>0</v>
      </c>
      <c r="K127" s="31">
        <f>G127*AP127</f>
        <v>0</v>
      </c>
      <c r="L127" s="31">
        <f>G127*H127</f>
        <v>0</v>
      </c>
      <c r="M127" s="31">
        <f>L127*(1+BW127/100)</f>
        <v>0</v>
      </c>
      <c r="N127" s="31">
        <v>1.9973700000000001</v>
      </c>
      <c r="O127" s="31">
        <f>G127*N127</f>
        <v>4.1345558999999996</v>
      </c>
      <c r="P127" s="33" t="s">
        <v>57</v>
      </c>
      <c r="Z127" s="31">
        <f>IF(AQ127="5",BJ127,0)</f>
        <v>0</v>
      </c>
      <c r="AB127" s="31">
        <f>IF(AQ127="1",BH127,0)</f>
        <v>0</v>
      </c>
      <c r="AC127" s="31">
        <f>IF(AQ127="1",BI127,0)</f>
        <v>0</v>
      </c>
      <c r="AD127" s="31">
        <f>IF(AQ127="7",BH127,0)</f>
        <v>0</v>
      </c>
      <c r="AE127" s="31">
        <f>IF(AQ127="7",BI127,0)</f>
        <v>0</v>
      </c>
      <c r="AF127" s="31">
        <f>IF(AQ127="2",BH127,0)</f>
        <v>0</v>
      </c>
      <c r="AG127" s="31">
        <f>IF(AQ127="2",BI127,0)</f>
        <v>0</v>
      </c>
      <c r="AH127" s="31">
        <f>IF(AQ127="0",BJ127,0)</f>
        <v>0</v>
      </c>
      <c r="AI127" s="12" t="s">
        <v>49</v>
      </c>
      <c r="AJ127" s="31">
        <f>IF(AN127=0,L127,0)</f>
        <v>0</v>
      </c>
      <c r="AK127" s="31">
        <f>IF(AN127=12,L127,0)</f>
        <v>0</v>
      </c>
      <c r="AL127" s="31">
        <f>IF(AN127=21,L127,0)</f>
        <v>0</v>
      </c>
      <c r="AN127" s="31">
        <v>21</v>
      </c>
      <c r="AO127" s="31">
        <f>H127*0.70420585</f>
        <v>0</v>
      </c>
      <c r="AP127" s="31">
        <f>H127*(1-0.70420585)</f>
        <v>0</v>
      </c>
      <c r="AQ127" s="32" t="s">
        <v>52</v>
      </c>
      <c r="AV127" s="31">
        <f>AW127+AX127</f>
        <v>0</v>
      </c>
      <c r="AW127" s="31">
        <f>G127*AO127</f>
        <v>0</v>
      </c>
      <c r="AX127" s="31">
        <f>G127*AP127</f>
        <v>0</v>
      </c>
      <c r="AY127" s="32" t="s">
        <v>328</v>
      </c>
      <c r="AZ127" s="32" t="s">
        <v>277</v>
      </c>
      <c r="BA127" s="12" t="s">
        <v>60</v>
      </c>
      <c r="BC127" s="31">
        <f>AW127+AX127</f>
        <v>0</v>
      </c>
      <c r="BD127" s="31">
        <f>H127/(100-BE127)*100</f>
        <v>0</v>
      </c>
      <c r="BE127" s="31">
        <v>0</v>
      </c>
      <c r="BF127" s="31">
        <f>O127</f>
        <v>4.1345558999999996</v>
      </c>
      <c r="BH127" s="31">
        <f>G127*AO127</f>
        <v>0</v>
      </c>
      <c r="BI127" s="31">
        <f>G127*AP127</f>
        <v>0</v>
      </c>
      <c r="BJ127" s="31">
        <f>G127*H127</f>
        <v>0</v>
      </c>
      <c r="BK127" s="31"/>
      <c r="BL127" s="31">
        <v>46</v>
      </c>
      <c r="BW127" s="31" t="str">
        <f>I127</f>
        <v>21</v>
      </c>
      <c r="BX127" s="4" t="s">
        <v>327</v>
      </c>
    </row>
    <row r="128" spans="1:76" ht="14.35" x14ac:dyDescent="0.5">
      <c r="A128" s="34"/>
      <c r="D128" s="35" t="s">
        <v>329</v>
      </c>
      <c r="E128" s="35" t="s">
        <v>49</v>
      </c>
      <c r="G128" s="36">
        <v>2.0699999999999998</v>
      </c>
      <c r="P128" s="37"/>
    </row>
    <row r="129" spans="1:76" ht="14.35" x14ac:dyDescent="0.5">
      <c r="A129" s="2" t="s">
        <v>330</v>
      </c>
      <c r="B129" s="3" t="s">
        <v>49</v>
      </c>
      <c r="C129" s="3" t="s">
        <v>331</v>
      </c>
      <c r="D129" s="72" t="s">
        <v>332</v>
      </c>
      <c r="E129" s="73"/>
      <c r="F129" s="3" t="s">
        <v>55</v>
      </c>
      <c r="G129" s="31">
        <v>2.0699999999999998</v>
      </c>
      <c r="H129" s="71"/>
      <c r="I129" s="32" t="s">
        <v>56</v>
      </c>
      <c r="J129" s="31">
        <f>G129*AO129</f>
        <v>0</v>
      </c>
      <c r="K129" s="31">
        <f>G129*AP129</f>
        <v>0</v>
      </c>
      <c r="L129" s="31">
        <f>G129*H129</f>
        <v>0</v>
      </c>
      <c r="M129" s="31">
        <f>L129*(1+BW129/100)</f>
        <v>0</v>
      </c>
      <c r="N129" s="31">
        <v>2.3437100000000002</v>
      </c>
      <c r="O129" s="31">
        <f>G129*N129</f>
        <v>4.8514796999999996</v>
      </c>
      <c r="P129" s="33" t="s">
        <v>57</v>
      </c>
      <c r="Z129" s="31">
        <f>IF(AQ129="5",BJ129,0)</f>
        <v>0</v>
      </c>
      <c r="AB129" s="31">
        <f>IF(AQ129="1",BH129,0)</f>
        <v>0</v>
      </c>
      <c r="AC129" s="31">
        <f>IF(AQ129="1",BI129,0)</f>
        <v>0</v>
      </c>
      <c r="AD129" s="31">
        <f>IF(AQ129="7",BH129,0)</f>
        <v>0</v>
      </c>
      <c r="AE129" s="31">
        <f>IF(AQ129="7",BI129,0)</f>
        <v>0</v>
      </c>
      <c r="AF129" s="31">
        <f>IF(AQ129="2",BH129,0)</f>
        <v>0</v>
      </c>
      <c r="AG129" s="31">
        <f>IF(AQ129="2",BI129,0)</f>
        <v>0</v>
      </c>
      <c r="AH129" s="31">
        <f>IF(AQ129="0",BJ129,0)</f>
        <v>0</v>
      </c>
      <c r="AI129" s="12" t="s">
        <v>49</v>
      </c>
      <c r="AJ129" s="31">
        <f>IF(AN129=0,L129,0)</f>
        <v>0</v>
      </c>
      <c r="AK129" s="31">
        <f>IF(AN129=12,L129,0)</f>
        <v>0</v>
      </c>
      <c r="AL129" s="31">
        <f>IF(AN129=21,L129,0)</f>
        <v>0</v>
      </c>
      <c r="AN129" s="31">
        <v>21</v>
      </c>
      <c r="AO129" s="31">
        <f>H129*0.738169697</f>
        <v>0</v>
      </c>
      <c r="AP129" s="31">
        <f>H129*(1-0.738169697)</f>
        <v>0</v>
      </c>
      <c r="AQ129" s="32" t="s">
        <v>52</v>
      </c>
      <c r="AV129" s="31">
        <f>AW129+AX129</f>
        <v>0</v>
      </c>
      <c r="AW129" s="31">
        <f>G129*AO129</f>
        <v>0</v>
      </c>
      <c r="AX129" s="31">
        <f>G129*AP129</f>
        <v>0</v>
      </c>
      <c r="AY129" s="32" t="s">
        <v>328</v>
      </c>
      <c r="AZ129" s="32" t="s">
        <v>277</v>
      </c>
      <c r="BA129" s="12" t="s">
        <v>60</v>
      </c>
      <c r="BC129" s="31">
        <f>AW129+AX129</f>
        <v>0</v>
      </c>
      <c r="BD129" s="31">
        <f>H129/(100-BE129)*100</f>
        <v>0</v>
      </c>
      <c r="BE129" s="31">
        <v>0</v>
      </c>
      <c r="BF129" s="31">
        <f>O129</f>
        <v>4.8514796999999996</v>
      </c>
      <c r="BH129" s="31">
        <f>G129*AO129</f>
        <v>0</v>
      </c>
      <c r="BI129" s="31">
        <f>G129*AP129</f>
        <v>0</v>
      </c>
      <c r="BJ129" s="31">
        <f>G129*H129</f>
        <v>0</v>
      </c>
      <c r="BK129" s="31"/>
      <c r="BL129" s="31">
        <v>46</v>
      </c>
      <c r="BW129" s="31" t="str">
        <f>I129</f>
        <v>21</v>
      </c>
      <c r="BX129" s="4" t="s">
        <v>332</v>
      </c>
    </row>
    <row r="130" spans="1:76" ht="14.35" x14ac:dyDescent="0.5">
      <c r="A130" s="38" t="s">
        <v>49</v>
      </c>
      <c r="B130" s="39" t="s">
        <v>49</v>
      </c>
      <c r="C130" s="39" t="s">
        <v>333</v>
      </c>
      <c r="D130" s="126" t="s">
        <v>334</v>
      </c>
      <c r="E130" s="127"/>
      <c r="F130" s="40" t="s">
        <v>3</v>
      </c>
      <c r="G130" s="40" t="s">
        <v>3</v>
      </c>
      <c r="H130" s="40" t="s">
        <v>3</v>
      </c>
      <c r="I130" s="40" t="s">
        <v>3</v>
      </c>
      <c r="J130" s="1">
        <f>SUM(J131:J131)</f>
        <v>0</v>
      </c>
      <c r="K130" s="1">
        <f>SUM(K131:K131)</f>
        <v>0</v>
      </c>
      <c r="L130" s="1">
        <f>SUM(L131:L131)</f>
        <v>0</v>
      </c>
      <c r="M130" s="1">
        <f>SUM(M131:M131)</f>
        <v>0</v>
      </c>
      <c r="N130" s="12" t="s">
        <v>49</v>
      </c>
      <c r="O130" s="1">
        <f>SUM(O131:O131)</f>
        <v>1.1000000000000001</v>
      </c>
      <c r="P130" s="41" t="s">
        <v>49</v>
      </c>
      <c r="AI130" s="12" t="s">
        <v>49</v>
      </c>
      <c r="AS130" s="1">
        <f>SUM(AJ131:AJ131)</f>
        <v>0</v>
      </c>
      <c r="AT130" s="1">
        <f>SUM(AK131:AK131)</f>
        <v>0</v>
      </c>
      <c r="AU130" s="1">
        <f>SUM(AL131:AL131)</f>
        <v>0</v>
      </c>
    </row>
    <row r="131" spans="1:76" ht="14.35" x14ac:dyDescent="0.5">
      <c r="A131" s="2" t="s">
        <v>335</v>
      </c>
      <c r="B131" s="3" t="s">
        <v>49</v>
      </c>
      <c r="C131" s="3" t="s">
        <v>336</v>
      </c>
      <c r="D131" s="72" t="s">
        <v>337</v>
      </c>
      <c r="E131" s="73"/>
      <c r="F131" s="3" t="s">
        <v>125</v>
      </c>
      <c r="G131" s="31">
        <v>10</v>
      </c>
      <c r="H131" s="71"/>
      <c r="I131" s="32" t="s">
        <v>56</v>
      </c>
      <c r="J131" s="31">
        <f>G131*AO131</f>
        <v>0</v>
      </c>
      <c r="K131" s="31">
        <f>G131*AP131</f>
        <v>0</v>
      </c>
      <c r="L131" s="31">
        <f>G131*H131</f>
        <v>0</v>
      </c>
      <c r="M131" s="31">
        <f>L131*(1+BW131/100)</f>
        <v>0</v>
      </c>
      <c r="N131" s="31">
        <v>0.11</v>
      </c>
      <c r="O131" s="31">
        <f>G131*N131</f>
        <v>1.1000000000000001</v>
      </c>
      <c r="P131" s="33" t="s">
        <v>57</v>
      </c>
      <c r="Z131" s="31">
        <f>IF(AQ131="5",BJ131,0)</f>
        <v>0</v>
      </c>
      <c r="AB131" s="31">
        <f>IF(AQ131="1",BH131,0)</f>
        <v>0</v>
      </c>
      <c r="AC131" s="31">
        <f>IF(AQ131="1",BI131,0)</f>
        <v>0</v>
      </c>
      <c r="AD131" s="31">
        <f>IF(AQ131="7",BH131,0)</f>
        <v>0</v>
      </c>
      <c r="AE131" s="31">
        <f>IF(AQ131="7",BI131,0)</f>
        <v>0</v>
      </c>
      <c r="AF131" s="31">
        <f>IF(AQ131="2",BH131,0)</f>
        <v>0</v>
      </c>
      <c r="AG131" s="31">
        <f>IF(AQ131="2",BI131,0)</f>
        <v>0</v>
      </c>
      <c r="AH131" s="31">
        <f>IF(AQ131="0",BJ131,0)</f>
        <v>0</v>
      </c>
      <c r="AI131" s="12" t="s">
        <v>49</v>
      </c>
      <c r="AJ131" s="31">
        <f>IF(AN131=0,L131,0)</f>
        <v>0</v>
      </c>
      <c r="AK131" s="31">
        <f>IF(AN131=12,L131,0)</f>
        <v>0</v>
      </c>
      <c r="AL131" s="31">
        <f>IF(AN131=21,L131,0)</f>
        <v>0</v>
      </c>
      <c r="AN131" s="31">
        <v>21</v>
      </c>
      <c r="AO131" s="31">
        <f>H131*0.060620032</f>
        <v>0</v>
      </c>
      <c r="AP131" s="31">
        <f>H131*(1-0.060620032)</f>
        <v>0</v>
      </c>
      <c r="AQ131" s="32" t="s">
        <v>52</v>
      </c>
      <c r="AV131" s="31">
        <f>AW131+AX131</f>
        <v>0</v>
      </c>
      <c r="AW131" s="31">
        <f>G131*AO131</f>
        <v>0</v>
      </c>
      <c r="AX131" s="31">
        <f>G131*AP131</f>
        <v>0</v>
      </c>
      <c r="AY131" s="32" t="s">
        <v>338</v>
      </c>
      <c r="AZ131" s="32" t="s">
        <v>339</v>
      </c>
      <c r="BA131" s="12" t="s">
        <v>60</v>
      </c>
      <c r="BC131" s="31">
        <f>AW131+AX131</f>
        <v>0</v>
      </c>
      <c r="BD131" s="31">
        <f>H131/(100-BE131)*100</f>
        <v>0</v>
      </c>
      <c r="BE131" s="31">
        <v>0</v>
      </c>
      <c r="BF131" s="31">
        <f>O131</f>
        <v>1.1000000000000001</v>
      </c>
      <c r="BH131" s="31">
        <f>G131*AO131</f>
        <v>0</v>
      </c>
      <c r="BI131" s="31">
        <f>G131*AP131</f>
        <v>0</v>
      </c>
      <c r="BJ131" s="31">
        <f>G131*H131</f>
        <v>0</v>
      </c>
      <c r="BK131" s="31"/>
      <c r="BL131" s="31">
        <v>59</v>
      </c>
      <c r="BW131" s="31" t="str">
        <f>I131</f>
        <v>21</v>
      </c>
      <c r="BX131" s="4" t="s">
        <v>337</v>
      </c>
    </row>
    <row r="132" spans="1:76" ht="14.35" x14ac:dyDescent="0.5">
      <c r="A132" s="34"/>
      <c r="D132" s="35" t="s">
        <v>105</v>
      </c>
      <c r="E132" s="35" t="s">
        <v>340</v>
      </c>
      <c r="G132" s="36">
        <v>10</v>
      </c>
      <c r="P132" s="37"/>
    </row>
    <row r="133" spans="1:76" ht="14.35" x14ac:dyDescent="0.5">
      <c r="A133" s="38" t="s">
        <v>49</v>
      </c>
      <c r="B133" s="39" t="s">
        <v>49</v>
      </c>
      <c r="C133" s="39" t="s">
        <v>341</v>
      </c>
      <c r="D133" s="126" t="s">
        <v>342</v>
      </c>
      <c r="E133" s="127"/>
      <c r="F133" s="40" t="s">
        <v>3</v>
      </c>
      <c r="G133" s="40" t="s">
        <v>3</v>
      </c>
      <c r="H133" s="40" t="s">
        <v>3</v>
      </c>
      <c r="I133" s="40" t="s">
        <v>3</v>
      </c>
      <c r="J133" s="1">
        <f>SUM(J134:J151)</f>
        <v>0</v>
      </c>
      <c r="K133" s="1">
        <f>SUM(K134:K151)</f>
        <v>0</v>
      </c>
      <c r="L133" s="1">
        <f>SUM(L134:L151)</f>
        <v>0</v>
      </c>
      <c r="M133" s="1">
        <f>SUM(M134:M151)</f>
        <v>0</v>
      </c>
      <c r="N133" s="12" t="s">
        <v>49</v>
      </c>
      <c r="O133" s="1">
        <f>SUM(O134:O151)</f>
        <v>114.24302100000001</v>
      </c>
      <c r="P133" s="41" t="s">
        <v>49</v>
      </c>
      <c r="AI133" s="12" t="s">
        <v>49</v>
      </c>
      <c r="AS133" s="1">
        <f>SUM(AJ134:AJ151)</f>
        <v>0</v>
      </c>
      <c r="AT133" s="1">
        <f>SUM(AK134:AK151)</f>
        <v>0</v>
      </c>
      <c r="AU133" s="1">
        <f>SUM(AL134:AL151)</f>
        <v>0</v>
      </c>
    </row>
    <row r="134" spans="1:76" ht="14.35" x14ac:dyDescent="0.5">
      <c r="A134" s="2" t="s">
        <v>343</v>
      </c>
      <c r="B134" s="3" t="s">
        <v>49</v>
      </c>
      <c r="C134" s="3" t="s">
        <v>344</v>
      </c>
      <c r="D134" s="72" t="s">
        <v>345</v>
      </c>
      <c r="E134" s="73"/>
      <c r="F134" s="3" t="s">
        <v>125</v>
      </c>
      <c r="G134" s="31">
        <v>795.84</v>
      </c>
      <c r="H134" s="71"/>
      <c r="I134" s="32" t="s">
        <v>56</v>
      </c>
      <c r="J134" s="31">
        <f>G134*AO134</f>
        <v>0</v>
      </c>
      <c r="K134" s="31">
        <f>G134*AP134</f>
        <v>0</v>
      </c>
      <c r="L134" s="31">
        <f>G134*H134</f>
        <v>0</v>
      </c>
      <c r="M134" s="31">
        <f>L134*(1+BW134/100)</f>
        <v>0</v>
      </c>
      <c r="N134" s="31">
        <v>5.0479999999999997E-2</v>
      </c>
      <c r="O134" s="31">
        <f>G134*N134</f>
        <v>40.174003200000001</v>
      </c>
      <c r="P134" s="33" t="s">
        <v>57</v>
      </c>
      <c r="Z134" s="31">
        <f>IF(AQ134="5",BJ134,0)</f>
        <v>0</v>
      </c>
      <c r="AB134" s="31">
        <f>IF(AQ134="1",BH134,0)</f>
        <v>0</v>
      </c>
      <c r="AC134" s="31">
        <f>IF(AQ134="1",BI134,0)</f>
        <v>0</v>
      </c>
      <c r="AD134" s="31">
        <f>IF(AQ134="7",BH134,0)</f>
        <v>0</v>
      </c>
      <c r="AE134" s="31">
        <f>IF(AQ134="7",BI134,0)</f>
        <v>0</v>
      </c>
      <c r="AF134" s="31">
        <f>IF(AQ134="2",BH134,0)</f>
        <v>0</v>
      </c>
      <c r="AG134" s="31">
        <f>IF(AQ134="2",BI134,0)</f>
        <v>0</v>
      </c>
      <c r="AH134" s="31">
        <f>IF(AQ134="0",BJ134,0)</f>
        <v>0</v>
      </c>
      <c r="AI134" s="12" t="s">
        <v>49</v>
      </c>
      <c r="AJ134" s="31">
        <f>IF(AN134=0,L134,0)</f>
        <v>0</v>
      </c>
      <c r="AK134" s="31">
        <f>IF(AN134=12,L134,0)</f>
        <v>0</v>
      </c>
      <c r="AL134" s="31">
        <f>IF(AN134=21,L134,0)</f>
        <v>0</v>
      </c>
      <c r="AN134" s="31">
        <v>21</v>
      </c>
      <c r="AO134" s="31">
        <f>H134*0.154617452</f>
        <v>0</v>
      </c>
      <c r="AP134" s="31">
        <f>H134*(1-0.154617452)</f>
        <v>0</v>
      </c>
      <c r="AQ134" s="32" t="s">
        <v>52</v>
      </c>
      <c r="AV134" s="31">
        <f>AW134+AX134</f>
        <v>0</v>
      </c>
      <c r="AW134" s="31">
        <f>G134*AO134</f>
        <v>0</v>
      </c>
      <c r="AX134" s="31">
        <f>G134*AP134</f>
        <v>0</v>
      </c>
      <c r="AY134" s="32" t="s">
        <v>346</v>
      </c>
      <c r="AZ134" s="32" t="s">
        <v>347</v>
      </c>
      <c r="BA134" s="12" t="s">
        <v>60</v>
      </c>
      <c r="BC134" s="31">
        <f>AW134+AX134</f>
        <v>0</v>
      </c>
      <c r="BD134" s="31">
        <f>H134/(100-BE134)*100</f>
        <v>0</v>
      </c>
      <c r="BE134" s="31">
        <v>0</v>
      </c>
      <c r="BF134" s="31">
        <f>O134</f>
        <v>40.174003200000001</v>
      </c>
      <c r="BH134" s="31">
        <f>G134*AO134</f>
        <v>0</v>
      </c>
      <c r="BI134" s="31">
        <f>G134*AP134</f>
        <v>0</v>
      </c>
      <c r="BJ134" s="31">
        <f>G134*H134</f>
        <v>0</v>
      </c>
      <c r="BK134" s="31"/>
      <c r="BL134" s="31">
        <v>61</v>
      </c>
      <c r="BW134" s="31" t="str">
        <f>I134</f>
        <v>21</v>
      </c>
      <c r="BX134" s="4" t="s">
        <v>345</v>
      </c>
    </row>
    <row r="135" spans="1:76" ht="14.35" x14ac:dyDescent="0.5">
      <c r="A135" s="34"/>
      <c r="D135" s="35" t="s">
        <v>348</v>
      </c>
      <c r="E135" s="35" t="s">
        <v>349</v>
      </c>
      <c r="G135" s="36">
        <v>475.5</v>
      </c>
      <c r="P135" s="37"/>
    </row>
    <row r="136" spans="1:76" ht="14.35" x14ac:dyDescent="0.5">
      <c r="A136" s="34"/>
      <c r="D136" s="35" t="s">
        <v>350</v>
      </c>
      <c r="E136" s="35" t="s">
        <v>351</v>
      </c>
      <c r="G136" s="36">
        <v>231.43</v>
      </c>
      <c r="P136" s="37"/>
    </row>
    <row r="137" spans="1:76" ht="14.35" x14ac:dyDescent="0.5">
      <c r="A137" s="34"/>
      <c r="D137" s="35" t="s">
        <v>352</v>
      </c>
      <c r="E137" s="35" t="s">
        <v>353</v>
      </c>
      <c r="G137" s="36">
        <v>88.91</v>
      </c>
      <c r="P137" s="37"/>
    </row>
    <row r="138" spans="1:76" ht="14.35" x14ac:dyDescent="0.5">
      <c r="A138" s="2" t="s">
        <v>354</v>
      </c>
      <c r="B138" s="3" t="s">
        <v>49</v>
      </c>
      <c r="C138" s="3" t="s">
        <v>355</v>
      </c>
      <c r="D138" s="72" t="s">
        <v>356</v>
      </c>
      <c r="E138" s="73"/>
      <c r="F138" s="3" t="s">
        <v>125</v>
      </c>
      <c r="G138" s="31">
        <v>1346.33</v>
      </c>
      <c r="H138" s="71"/>
      <c r="I138" s="32" t="s">
        <v>56</v>
      </c>
      <c r="J138" s="31">
        <f>G138*AO138</f>
        <v>0</v>
      </c>
      <c r="K138" s="31">
        <f>G138*AP138</f>
        <v>0</v>
      </c>
      <c r="L138" s="31">
        <f>G138*H138</f>
        <v>0</v>
      </c>
      <c r="M138" s="31">
        <f>L138*(1+BW138/100)</f>
        <v>0</v>
      </c>
      <c r="N138" s="31">
        <v>4.9730000000000003E-2</v>
      </c>
      <c r="O138" s="31">
        <f>G138*N138</f>
        <v>66.952990900000003</v>
      </c>
      <c r="P138" s="33" t="s">
        <v>57</v>
      </c>
      <c r="Z138" s="31">
        <f>IF(AQ138="5",BJ138,0)</f>
        <v>0</v>
      </c>
      <c r="AB138" s="31">
        <f>IF(AQ138="1",BH138,0)</f>
        <v>0</v>
      </c>
      <c r="AC138" s="31">
        <f>IF(AQ138="1",BI138,0)</f>
        <v>0</v>
      </c>
      <c r="AD138" s="31">
        <f>IF(AQ138="7",BH138,0)</f>
        <v>0</v>
      </c>
      <c r="AE138" s="31">
        <f>IF(AQ138="7",BI138,0)</f>
        <v>0</v>
      </c>
      <c r="AF138" s="31">
        <f>IF(AQ138="2",BH138,0)</f>
        <v>0</v>
      </c>
      <c r="AG138" s="31">
        <f>IF(AQ138="2",BI138,0)</f>
        <v>0</v>
      </c>
      <c r="AH138" s="31">
        <f>IF(AQ138="0",BJ138,0)</f>
        <v>0</v>
      </c>
      <c r="AI138" s="12" t="s">
        <v>49</v>
      </c>
      <c r="AJ138" s="31">
        <f>IF(AN138=0,L138,0)</f>
        <v>0</v>
      </c>
      <c r="AK138" s="31">
        <f>IF(AN138=12,L138,0)</f>
        <v>0</v>
      </c>
      <c r="AL138" s="31">
        <f>IF(AN138=21,L138,0)</f>
        <v>0</v>
      </c>
      <c r="AN138" s="31">
        <v>21</v>
      </c>
      <c r="AO138" s="31">
        <f>H138*0.133392456</f>
        <v>0</v>
      </c>
      <c r="AP138" s="31">
        <f>H138*(1-0.133392456)</f>
        <v>0</v>
      </c>
      <c r="AQ138" s="32" t="s">
        <v>52</v>
      </c>
      <c r="AV138" s="31">
        <f>AW138+AX138</f>
        <v>0</v>
      </c>
      <c r="AW138" s="31">
        <f>G138*AO138</f>
        <v>0</v>
      </c>
      <c r="AX138" s="31">
        <f>G138*AP138</f>
        <v>0</v>
      </c>
      <c r="AY138" s="32" t="s">
        <v>346</v>
      </c>
      <c r="AZ138" s="32" t="s">
        <v>347</v>
      </c>
      <c r="BA138" s="12" t="s">
        <v>60</v>
      </c>
      <c r="BC138" s="31">
        <f>AW138+AX138</f>
        <v>0</v>
      </c>
      <c r="BD138" s="31">
        <f>H138/(100-BE138)*100</f>
        <v>0</v>
      </c>
      <c r="BE138" s="31">
        <v>0</v>
      </c>
      <c r="BF138" s="31">
        <f>O138</f>
        <v>66.952990900000003</v>
      </c>
      <c r="BH138" s="31">
        <f>G138*AO138</f>
        <v>0</v>
      </c>
      <c r="BI138" s="31">
        <f>G138*AP138</f>
        <v>0</v>
      </c>
      <c r="BJ138" s="31">
        <f>G138*H138</f>
        <v>0</v>
      </c>
      <c r="BK138" s="31"/>
      <c r="BL138" s="31">
        <v>61</v>
      </c>
      <c r="BW138" s="31" t="str">
        <f>I138</f>
        <v>21</v>
      </c>
      <c r="BX138" s="4" t="s">
        <v>356</v>
      </c>
    </row>
    <row r="139" spans="1:76" ht="14.35" x14ac:dyDescent="0.5">
      <c r="A139" s="34"/>
      <c r="D139" s="35" t="s">
        <v>357</v>
      </c>
      <c r="E139" s="35" t="s">
        <v>358</v>
      </c>
      <c r="G139" s="36">
        <v>359.04</v>
      </c>
      <c r="P139" s="37"/>
    </row>
    <row r="140" spans="1:76" ht="14.35" x14ac:dyDescent="0.5">
      <c r="A140" s="34"/>
      <c r="D140" s="35" t="s">
        <v>359</v>
      </c>
      <c r="E140" s="35" t="s">
        <v>360</v>
      </c>
      <c r="G140" s="36">
        <v>802.56</v>
      </c>
      <c r="P140" s="37"/>
    </row>
    <row r="141" spans="1:76" ht="14.35" x14ac:dyDescent="0.5">
      <c r="A141" s="34"/>
      <c r="D141" s="35" t="s">
        <v>361</v>
      </c>
      <c r="E141" s="35" t="s">
        <v>362</v>
      </c>
      <c r="G141" s="36">
        <v>184.73</v>
      </c>
      <c r="P141" s="37"/>
    </row>
    <row r="142" spans="1:76" ht="14.35" x14ac:dyDescent="0.5">
      <c r="A142" s="2" t="s">
        <v>363</v>
      </c>
      <c r="B142" s="3" t="s">
        <v>49</v>
      </c>
      <c r="C142" s="3" t="s">
        <v>364</v>
      </c>
      <c r="D142" s="72" t="s">
        <v>365</v>
      </c>
      <c r="E142" s="73"/>
      <c r="F142" s="3" t="s">
        <v>150</v>
      </c>
      <c r="G142" s="31">
        <v>167.36</v>
      </c>
      <c r="H142" s="71"/>
      <c r="I142" s="32" t="s">
        <v>56</v>
      </c>
      <c r="J142" s="31">
        <f>G142*AO142</f>
        <v>0</v>
      </c>
      <c r="K142" s="31">
        <f>G142*AP142</f>
        <v>0</v>
      </c>
      <c r="L142" s="31">
        <f>G142*H142</f>
        <v>0</v>
      </c>
      <c r="M142" s="31">
        <f>L142*(1+BW142/100)</f>
        <v>0</v>
      </c>
      <c r="N142" s="31">
        <v>1.5339999999999999E-2</v>
      </c>
      <c r="O142" s="31">
        <f>G142*N142</f>
        <v>2.5673024</v>
      </c>
      <c r="P142" s="33" t="s">
        <v>57</v>
      </c>
      <c r="Z142" s="31">
        <f>IF(AQ142="5",BJ142,0)</f>
        <v>0</v>
      </c>
      <c r="AB142" s="31">
        <f>IF(AQ142="1",BH142,0)</f>
        <v>0</v>
      </c>
      <c r="AC142" s="31">
        <f>IF(AQ142="1",BI142,0)</f>
        <v>0</v>
      </c>
      <c r="AD142" s="31">
        <f>IF(AQ142="7",BH142,0)</f>
        <v>0</v>
      </c>
      <c r="AE142" s="31">
        <f>IF(AQ142="7",BI142,0)</f>
        <v>0</v>
      </c>
      <c r="AF142" s="31">
        <f>IF(AQ142="2",BH142,0)</f>
        <v>0</v>
      </c>
      <c r="AG142" s="31">
        <f>IF(AQ142="2",BI142,0)</f>
        <v>0</v>
      </c>
      <c r="AH142" s="31">
        <f>IF(AQ142="0",BJ142,0)</f>
        <v>0</v>
      </c>
      <c r="AI142" s="12" t="s">
        <v>49</v>
      </c>
      <c r="AJ142" s="31">
        <f>IF(AN142=0,L142,0)</f>
        <v>0</v>
      </c>
      <c r="AK142" s="31">
        <f>IF(AN142=12,L142,0)</f>
        <v>0</v>
      </c>
      <c r="AL142" s="31">
        <f>IF(AN142=21,L142,0)</f>
        <v>0</v>
      </c>
      <c r="AN142" s="31">
        <v>21</v>
      </c>
      <c r="AO142" s="31">
        <f>H142*0.089657658</f>
        <v>0</v>
      </c>
      <c r="AP142" s="31">
        <f>H142*(1-0.089657658)</f>
        <v>0</v>
      </c>
      <c r="AQ142" s="32" t="s">
        <v>52</v>
      </c>
      <c r="AV142" s="31">
        <f>AW142+AX142</f>
        <v>0</v>
      </c>
      <c r="AW142" s="31">
        <f>G142*AO142</f>
        <v>0</v>
      </c>
      <c r="AX142" s="31">
        <f>G142*AP142</f>
        <v>0</v>
      </c>
      <c r="AY142" s="32" t="s">
        <v>346</v>
      </c>
      <c r="AZ142" s="32" t="s">
        <v>347</v>
      </c>
      <c r="BA142" s="12" t="s">
        <v>60</v>
      </c>
      <c r="BC142" s="31">
        <f>AW142+AX142</f>
        <v>0</v>
      </c>
      <c r="BD142" s="31">
        <f>H142/(100-BE142)*100</f>
        <v>0</v>
      </c>
      <c r="BE142" s="31">
        <v>0</v>
      </c>
      <c r="BF142" s="31">
        <f>O142</f>
        <v>2.5673024</v>
      </c>
      <c r="BH142" s="31">
        <f>G142*AO142</f>
        <v>0</v>
      </c>
      <c r="BI142" s="31">
        <f>G142*AP142</f>
        <v>0</v>
      </c>
      <c r="BJ142" s="31">
        <f>G142*H142</f>
        <v>0</v>
      </c>
      <c r="BK142" s="31"/>
      <c r="BL142" s="31">
        <v>61</v>
      </c>
      <c r="BW142" s="31" t="str">
        <f>I142</f>
        <v>21</v>
      </c>
      <c r="BX142" s="4" t="s">
        <v>365</v>
      </c>
    </row>
    <row r="143" spans="1:76" ht="14.35" x14ac:dyDescent="0.5">
      <c r="A143" s="34"/>
      <c r="D143" s="35" t="s">
        <v>366</v>
      </c>
      <c r="E143" s="35" t="s">
        <v>367</v>
      </c>
      <c r="G143" s="36">
        <v>83.68</v>
      </c>
      <c r="P143" s="37"/>
    </row>
    <row r="144" spans="1:76" ht="14.35" x14ac:dyDescent="0.5">
      <c r="A144" s="34"/>
      <c r="D144" s="35" t="s">
        <v>368</v>
      </c>
      <c r="E144" s="35" t="s">
        <v>369</v>
      </c>
      <c r="G144" s="36">
        <v>83.68</v>
      </c>
      <c r="P144" s="37"/>
    </row>
    <row r="145" spans="1:76" ht="14.35" x14ac:dyDescent="0.5">
      <c r="A145" s="2" t="s">
        <v>370</v>
      </c>
      <c r="B145" s="3" t="s">
        <v>49</v>
      </c>
      <c r="C145" s="3" t="s">
        <v>371</v>
      </c>
      <c r="D145" s="72" t="s">
        <v>372</v>
      </c>
      <c r="E145" s="73"/>
      <c r="F145" s="3" t="s">
        <v>150</v>
      </c>
      <c r="G145" s="31">
        <v>83.67</v>
      </c>
      <c r="H145" s="71"/>
      <c r="I145" s="32" t="s">
        <v>56</v>
      </c>
      <c r="J145" s="31">
        <f>G145*AO145</f>
        <v>0</v>
      </c>
      <c r="K145" s="31">
        <f>G145*AP145</f>
        <v>0</v>
      </c>
      <c r="L145" s="31">
        <f>G145*H145</f>
        <v>0</v>
      </c>
      <c r="M145" s="31">
        <f>L145*(1+BW145/100)</f>
        <v>0</v>
      </c>
      <c r="N145" s="31">
        <v>1.5339999999999999E-2</v>
      </c>
      <c r="O145" s="31">
        <f>G145*N145</f>
        <v>1.2834977999999999</v>
      </c>
      <c r="P145" s="33" t="s">
        <v>57</v>
      </c>
      <c r="Z145" s="31">
        <f>IF(AQ145="5",BJ145,0)</f>
        <v>0</v>
      </c>
      <c r="AB145" s="31">
        <f>IF(AQ145="1",BH145,0)</f>
        <v>0</v>
      </c>
      <c r="AC145" s="31">
        <f>IF(AQ145="1",BI145,0)</f>
        <v>0</v>
      </c>
      <c r="AD145" s="31">
        <f>IF(AQ145="7",BH145,0)</f>
        <v>0</v>
      </c>
      <c r="AE145" s="31">
        <f>IF(AQ145="7",BI145,0)</f>
        <v>0</v>
      </c>
      <c r="AF145" s="31">
        <f>IF(AQ145="2",BH145,0)</f>
        <v>0</v>
      </c>
      <c r="AG145" s="31">
        <f>IF(AQ145="2",BI145,0)</f>
        <v>0</v>
      </c>
      <c r="AH145" s="31">
        <f>IF(AQ145="0",BJ145,0)</f>
        <v>0</v>
      </c>
      <c r="AI145" s="12" t="s">
        <v>49</v>
      </c>
      <c r="AJ145" s="31">
        <f>IF(AN145=0,L145,0)</f>
        <v>0</v>
      </c>
      <c r="AK145" s="31">
        <f>IF(AN145=12,L145,0)</f>
        <v>0</v>
      </c>
      <c r="AL145" s="31">
        <f>IF(AN145=21,L145,0)</f>
        <v>0</v>
      </c>
      <c r="AN145" s="31">
        <v>21</v>
      </c>
      <c r="AO145" s="31">
        <f>H145*0.03311126</f>
        <v>0</v>
      </c>
      <c r="AP145" s="31">
        <f>H145*(1-0.03311126)</f>
        <v>0</v>
      </c>
      <c r="AQ145" s="32" t="s">
        <v>52</v>
      </c>
      <c r="AV145" s="31">
        <f>AW145+AX145</f>
        <v>0</v>
      </c>
      <c r="AW145" s="31">
        <f>G145*AO145</f>
        <v>0</v>
      </c>
      <c r="AX145" s="31">
        <f>G145*AP145</f>
        <v>0</v>
      </c>
      <c r="AY145" s="32" t="s">
        <v>346</v>
      </c>
      <c r="AZ145" s="32" t="s">
        <v>347</v>
      </c>
      <c r="BA145" s="12" t="s">
        <v>60</v>
      </c>
      <c r="BC145" s="31">
        <f>AW145+AX145</f>
        <v>0</v>
      </c>
      <c r="BD145" s="31">
        <f>H145/(100-BE145)*100</f>
        <v>0</v>
      </c>
      <c r="BE145" s="31">
        <v>0</v>
      </c>
      <c r="BF145" s="31">
        <f>O145</f>
        <v>1.2834977999999999</v>
      </c>
      <c r="BH145" s="31">
        <f>G145*AO145</f>
        <v>0</v>
      </c>
      <c r="BI145" s="31">
        <f>G145*AP145</f>
        <v>0</v>
      </c>
      <c r="BJ145" s="31">
        <f>G145*H145</f>
        <v>0</v>
      </c>
      <c r="BK145" s="31"/>
      <c r="BL145" s="31">
        <v>61</v>
      </c>
      <c r="BW145" s="31" t="str">
        <f>I145</f>
        <v>21</v>
      </c>
      <c r="BX145" s="4" t="s">
        <v>372</v>
      </c>
    </row>
    <row r="146" spans="1:76" ht="14.35" x14ac:dyDescent="0.5">
      <c r="A146" s="34"/>
      <c r="D146" s="35" t="s">
        <v>373</v>
      </c>
      <c r="E146" s="35" t="s">
        <v>374</v>
      </c>
      <c r="G146" s="36">
        <v>83.67</v>
      </c>
      <c r="P146" s="37"/>
    </row>
    <row r="147" spans="1:76" ht="14.35" x14ac:dyDescent="0.5">
      <c r="A147" s="2" t="s">
        <v>333</v>
      </c>
      <c r="B147" s="3" t="s">
        <v>49</v>
      </c>
      <c r="C147" s="3" t="s">
        <v>375</v>
      </c>
      <c r="D147" s="72" t="s">
        <v>376</v>
      </c>
      <c r="E147" s="73"/>
      <c r="F147" s="3" t="s">
        <v>150</v>
      </c>
      <c r="G147" s="31">
        <v>116.11</v>
      </c>
      <c r="H147" s="71"/>
      <c r="I147" s="32" t="s">
        <v>56</v>
      </c>
      <c r="J147" s="31">
        <f>G147*AO147</f>
        <v>0</v>
      </c>
      <c r="K147" s="31">
        <f>G147*AP147</f>
        <v>0</v>
      </c>
      <c r="L147" s="31">
        <f>G147*H147</f>
        <v>0</v>
      </c>
      <c r="M147" s="31">
        <f>L147*(1+BW147/100)</f>
        <v>0</v>
      </c>
      <c r="N147" s="31">
        <v>2.0299999999999999E-2</v>
      </c>
      <c r="O147" s="31">
        <f>G147*N147</f>
        <v>2.3570329999999999</v>
      </c>
      <c r="P147" s="33" t="s">
        <v>57</v>
      </c>
      <c r="Z147" s="31">
        <f>IF(AQ147="5",BJ147,0)</f>
        <v>0</v>
      </c>
      <c r="AB147" s="31">
        <f>IF(AQ147="1",BH147,0)</f>
        <v>0</v>
      </c>
      <c r="AC147" s="31">
        <f>IF(AQ147="1",BI147,0)</f>
        <v>0</v>
      </c>
      <c r="AD147" s="31">
        <f>IF(AQ147="7",BH147,0)</f>
        <v>0</v>
      </c>
      <c r="AE147" s="31">
        <f>IF(AQ147="7",BI147,0)</f>
        <v>0</v>
      </c>
      <c r="AF147" s="31">
        <f>IF(AQ147="2",BH147,0)</f>
        <v>0</v>
      </c>
      <c r="AG147" s="31">
        <f>IF(AQ147="2",BI147,0)</f>
        <v>0</v>
      </c>
      <c r="AH147" s="31">
        <f>IF(AQ147="0",BJ147,0)</f>
        <v>0</v>
      </c>
      <c r="AI147" s="12" t="s">
        <v>49</v>
      </c>
      <c r="AJ147" s="31">
        <f>IF(AN147=0,L147,0)</f>
        <v>0</v>
      </c>
      <c r="AK147" s="31">
        <f>IF(AN147=12,L147,0)</f>
        <v>0</v>
      </c>
      <c r="AL147" s="31">
        <f>IF(AN147=21,L147,0)</f>
        <v>0</v>
      </c>
      <c r="AN147" s="31">
        <v>21</v>
      </c>
      <c r="AO147" s="31">
        <f>H147*0.041630573</f>
        <v>0</v>
      </c>
      <c r="AP147" s="31">
        <f>H147*(1-0.041630573)</f>
        <v>0</v>
      </c>
      <c r="AQ147" s="32" t="s">
        <v>52</v>
      </c>
      <c r="AV147" s="31">
        <f>AW147+AX147</f>
        <v>0</v>
      </c>
      <c r="AW147" s="31">
        <f>G147*AO147</f>
        <v>0</v>
      </c>
      <c r="AX147" s="31">
        <f>G147*AP147</f>
        <v>0</v>
      </c>
      <c r="AY147" s="32" t="s">
        <v>346</v>
      </c>
      <c r="AZ147" s="32" t="s">
        <v>347</v>
      </c>
      <c r="BA147" s="12" t="s">
        <v>60</v>
      </c>
      <c r="BC147" s="31">
        <f>AW147+AX147</f>
        <v>0</v>
      </c>
      <c r="BD147" s="31">
        <f>H147/(100-BE147)*100</f>
        <v>0</v>
      </c>
      <c r="BE147" s="31">
        <v>0</v>
      </c>
      <c r="BF147" s="31">
        <f>O147</f>
        <v>2.3570329999999999</v>
      </c>
      <c r="BH147" s="31">
        <f>G147*AO147</f>
        <v>0</v>
      </c>
      <c r="BI147" s="31">
        <f>G147*AP147</f>
        <v>0</v>
      </c>
      <c r="BJ147" s="31">
        <f>G147*H147</f>
        <v>0</v>
      </c>
      <c r="BK147" s="31"/>
      <c r="BL147" s="31">
        <v>61</v>
      </c>
      <c r="BW147" s="31" t="str">
        <f>I147</f>
        <v>21</v>
      </c>
      <c r="BX147" s="4" t="s">
        <v>376</v>
      </c>
    </row>
    <row r="148" spans="1:76" ht="14.35" x14ac:dyDescent="0.5">
      <c r="A148" s="34"/>
      <c r="D148" s="35" t="s">
        <v>377</v>
      </c>
      <c r="E148" s="35" t="s">
        <v>378</v>
      </c>
      <c r="G148" s="36">
        <v>116.11</v>
      </c>
      <c r="P148" s="37"/>
    </row>
    <row r="149" spans="1:76" ht="14.35" x14ac:dyDescent="0.5">
      <c r="A149" s="2" t="s">
        <v>379</v>
      </c>
      <c r="B149" s="3" t="s">
        <v>49</v>
      </c>
      <c r="C149" s="3" t="s">
        <v>380</v>
      </c>
      <c r="D149" s="72" t="s">
        <v>381</v>
      </c>
      <c r="E149" s="73"/>
      <c r="F149" s="3" t="s">
        <v>125</v>
      </c>
      <c r="G149" s="31">
        <v>8.7899999999999991</v>
      </c>
      <c r="H149" s="71"/>
      <c r="I149" s="32" t="s">
        <v>56</v>
      </c>
      <c r="J149" s="31">
        <f>G149*AO149</f>
        <v>0</v>
      </c>
      <c r="K149" s="31">
        <f>G149*AP149</f>
        <v>0</v>
      </c>
      <c r="L149" s="31">
        <f>G149*H149</f>
        <v>0</v>
      </c>
      <c r="M149" s="31">
        <f>L149*(1+BW149/100)</f>
        <v>0</v>
      </c>
      <c r="N149" s="31">
        <v>5.1229999999999998E-2</v>
      </c>
      <c r="O149" s="31">
        <f>G149*N149</f>
        <v>0.45031169999999993</v>
      </c>
      <c r="P149" s="33" t="s">
        <v>57</v>
      </c>
      <c r="Z149" s="31">
        <f>IF(AQ149="5",BJ149,0)</f>
        <v>0</v>
      </c>
      <c r="AB149" s="31">
        <f>IF(AQ149="1",BH149,0)</f>
        <v>0</v>
      </c>
      <c r="AC149" s="31">
        <f>IF(AQ149="1",BI149,0)</f>
        <v>0</v>
      </c>
      <c r="AD149" s="31">
        <f>IF(AQ149="7",BH149,0)</f>
        <v>0</v>
      </c>
      <c r="AE149" s="31">
        <f>IF(AQ149="7",BI149,0)</f>
        <v>0</v>
      </c>
      <c r="AF149" s="31">
        <f>IF(AQ149="2",BH149,0)</f>
        <v>0</v>
      </c>
      <c r="AG149" s="31">
        <f>IF(AQ149="2",BI149,0)</f>
        <v>0</v>
      </c>
      <c r="AH149" s="31">
        <f>IF(AQ149="0",BJ149,0)</f>
        <v>0</v>
      </c>
      <c r="AI149" s="12" t="s">
        <v>49</v>
      </c>
      <c r="AJ149" s="31">
        <f>IF(AN149=0,L149,0)</f>
        <v>0</v>
      </c>
      <c r="AK149" s="31">
        <f>IF(AN149=12,L149,0)</f>
        <v>0</v>
      </c>
      <c r="AL149" s="31">
        <f>IF(AN149=21,L149,0)</f>
        <v>0</v>
      </c>
      <c r="AN149" s="31">
        <v>21</v>
      </c>
      <c r="AO149" s="31">
        <f>H149*0.174154104</f>
        <v>0</v>
      </c>
      <c r="AP149" s="31">
        <f>H149*(1-0.174154104)</f>
        <v>0</v>
      </c>
      <c r="AQ149" s="32" t="s">
        <v>52</v>
      </c>
      <c r="AV149" s="31">
        <f>AW149+AX149</f>
        <v>0</v>
      </c>
      <c r="AW149" s="31">
        <f>G149*AO149</f>
        <v>0</v>
      </c>
      <c r="AX149" s="31">
        <f>G149*AP149</f>
        <v>0</v>
      </c>
      <c r="AY149" s="32" t="s">
        <v>346</v>
      </c>
      <c r="AZ149" s="32" t="s">
        <v>347</v>
      </c>
      <c r="BA149" s="12" t="s">
        <v>60</v>
      </c>
      <c r="BC149" s="31">
        <f>AW149+AX149</f>
        <v>0</v>
      </c>
      <c r="BD149" s="31">
        <f>H149/(100-BE149)*100</f>
        <v>0</v>
      </c>
      <c r="BE149" s="31">
        <v>0</v>
      </c>
      <c r="BF149" s="31">
        <f>O149</f>
        <v>0.45031169999999993</v>
      </c>
      <c r="BH149" s="31">
        <f>G149*AO149</f>
        <v>0</v>
      </c>
      <c r="BI149" s="31">
        <f>G149*AP149</f>
        <v>0</v>
      </c>
      <c r="BJ149" s="31">
        <f>G149*H149</f>
        <v>0</v>
      </c>
      <c r="BK149" s="31"/>
      <c r="BL149" s="31">
        <v>61</v>
      </c>
      <c r="BW149" s="31" t="str">
        <f>I149</f>
        <v>21</v>
      </c>
      <c r="BX149" s="4" t="s">
        <v>381</v>
      </c>
    </row>
    <row r="150" spans="1:76" ht="14.35" x14ac:dyDescent="0.5">
      <c r="A150" s="34"/>
      <c r="D150" s="35" t="s">
        <v>382</v>
      </c>
      <c r="E150" s="35" t="s">
        <v>383</v>
      </c>
      <c r="G150" s="36">
        <v>8.7899999999999991</v>
      </c>
      <c r="P150" s="37"/>
    </row>
    <row r="151" spans="1:76" ht="14.35" x14ac:dyDescent="0.5">
      <c r="A151" s="2" t="s">
        <v>341</v>
      </c>
      <c r="B151" s="3" t="s">
        <v>49</v>
      </c>
      <c r="C151" s="3" t="s">
        <v>384</v>
      </c>
      <c r="D151" s="72" t="s">
        <v>385</v>
      </c>
      <c r="E151" s="73"/>
      <c r="F151" s="3" t="s">
        <v>125</v>
      </c>
      <c r="G151" s="31">
        <v>8.9499999999999993</v>
      </c>
      <c r="H151" s="71"/>
      <c r="I151" s="32" t="s">
        <v>56</v>
      </c>
      <c r="J151" s="31">
        <f>G151*AO151</f>
        <v>0</v>
      </c>
      <c r="K151" s="31">
        <f>G151*AP151</f>
        <v>0</v>
      </c>
      <c r="L151" s="31">
        <f>G151*H151</f>
        <v>0</v>
      </c>
      <c r="M151" s="31">
        <f>L151*(1+BW151/100)</f>
        <v>0</v>
      </c>
      <c r="N151" s="31">
        <v>5.1159999999999997E-2</v>
      </c>
      <c r="O151" s="31">
        <f>G151*N151</f>
        <v>0.45788199999999996</v>
      </c>
      <c r="P151" s="33" t="s">
        <v>57</v>
      </c>
      <c r="Z151" s="31">
        <f>IF(AQ151="5",BJ151,0)</f>
        <v>0</v>
      </c>
      <c r="AB151" s="31">
        <f>IF(AQ151="1",BH151,0)</f>
        <v>0</v>
      </c>
      <c r="AC151" s="31">
        <f>IF(AQ151="1",BI151,0)</f>
        <v>0</v>
      </c>
      <c r="AD151" s="31">
        <f>IF(AQ151="7",BH151,0)</f>
        <v>0</v>
      </c>
      <c r="AE151" s="31">
        <f>IF(AQ151="7",BI151,0)</f>
        <v>0</v>
      </c>
      <c r="AF151" s="31">
        <f>IF(AQ151="2",BH151,0)</f>
        <v>0</v>
      </c>
      <c r="AG151" s="31">
        <f>IF(AQ151="2",BI151,0)</f>
        <v>0</v>
      </c>
      <c r="AH151" s="31">
        <f>IF(AQ151="0",BJ151,0)</f>
        <v>0</v>
      </c>
      <c r="AI151" s="12" t="s">
        <v>49</v>
      </c>
      <c r="AJ151" s="31">
        <f>IF(AN151=0,L151,0)</f>
        <v>0</v>
      </c>
      <c r="AK151" s="31">
        <f>IF(AN151=12,L151,0)</f>
        <v>0</v>
      </c>
      <c r="AL151" s="31">
        <f>IF(AN151=21,L151,0)</f>
        <v>0</v>
      </c>
      <c r="AN151" s="31">
        <v>21</v>
      </c>
      <c r="AO151" s="31">
        <f>H151*0.156232772</f>
        <v>0</v>
      </c>
      <c r="AP151" s="31">
        <f>H151*(1-0.156232772)</f>
        <v>0</v>
      </c>
      <c r="AQ151" s="32" t="s">
        <v>52</v>
      </c>
      <c r="AV151" s="31">
        <f>AW151+AX151</f>
        <v>0</v>
      </c>
      <c r="AW151" s="31">
        <f>G151*AO151</f>
        <v>0</v>
      </c>
      <c r="AX151" s="31">
        <f>G151*AP151</f>
        <v>0</v>
      </c>
      <c r="AY151" s="32" t="s">
        <v>346</v>
      </c>
      <c r="AZ151" s="32" t="s">
        <v>347</v>
      </c>
      <c r="BA151" s="12" t="s">
        <v>60</v>
      </c>
      <c r="BC151" s="31">
        <f>AW151+AX151</f>
        <v>0</v>
      </c>
      <c r="BD151" s="31">
        <f>H151/(100-BE151)*100</f>
        <v>0</v>
      </c>
      <c r="BE151" s="31">
        <v>0</v>
      </c>
      <c r="BF151" s="31">
        <f>O151</f>
        <v>0.45788199999999996</v>
      </c>
      <c r="BH151" s="31">
        <f>G151*AO151</f>
        <v>0</v>
      </c>
      <c r="BI151" s="31">
        <f>G151*AP151</f>
        <v>0</v>
      </c>
      <c r="BJ151" s="31">
        <f>G151*H151</f>
        <v>0</v>
      </c>
      <c r="BK151" s="31"/>
      <c r="BL151" s="31">
        <v>61</v>
      </c>
      <c r="BW151" s="31" t="str">
        <f>I151</f>
        <v>21</v>
      </c>
      <c r="BX151" s="4" t="s">
        <v>385</v>
      </c>
    </row>
    <row r="152" spans="1:76" ht="14.35" x14ac:dyDescent="0.5">
      <c r="A152" s="34"/>
      <c r="D152" s="35" t="s">
        <v>299</v>
      </c>
      <c r="E152" s="35" t="s">
        <v>300</v>
      </c>
      <c r="G152" s="36">
        <v>2.0699999999999998</v>
      </c>
      <c r="P152" s="37"/>
    </row>
    <row r="153" spans="1:76" ht="14.35" x14ac:dyDescent="0.5">
      <c r="A153" s="34"/>
      <c r="D153" s="35" t="s">
        <v>301</v>
      </c>
      <c r="E153" s="35" t="s">
        <v>302</v>
      </c>
      <c r="G153" s="36">
        <v>2.41</v>
      </c>
      <c r="P153" s="37"/>
    </row>
    <row r="154" spans="1:76" ht="14.35" x14ac:dyDescent="0.5">
      <c r="A154" s="34"/>
      <c r="D154" s="35" t="s">
        <v>303</v>
      </c>
      <c r="E154" s="35" t="s">
        <v>304</v>
      </c>
      <c r="G154" s="36">
        <v>4.47</v>
      </c>
      <c r="P154" s="37"/>
    </row>
    <row r="155" spans="1:76" ht="14.35" x14ac:dyDescent="0.5">
      <c r="A155" s="38" t="s">
        <v>49</v>
      </c>
      <c r="B155" s="39" t="s">
        <v>49</v>
      </c>
      <c r="C155" s="39" t="s">
        <v>386</v>
      </c>
      <c r="D155" s="126" t="s">
        <v>387</v>
      </c>
      <c r="E155" s="127"/>
      <c r="F155" s="40" t="s">
        <v>3</v>
      </c>
      <c r="G155" s="40" t="s">
        <v>3</v>
      </c>
      <c r="H155" s="40" t="s">
        <v>3</v>
      </c>
      <c r="I155" s="40" t="s">
        <v>3</v>
      </c>
      <c r="J155" s="1">
        <f>SUM(J156:J165)</f>
        <v>0</v>
      </c>
      <c r="K155" s="1">
        <f>SUM(K156:K165)</f>
        <v>0</v>
      </c>
      <c r="L155" s="1">
        <f>SUM(L156:L165)</f>
        <v>0</v>
      </c>
      <c r="M155" s="1">
        <f>SUM(M156:M165)</f>
        <v>0</v>
      </c>
      <c r="N155" s="12" t="s">
        <v>49</v>
      </c>
      <c r="O155" s="1">
        <f>SUM(O156:O165)</f>
        <v>5.4425318999999996</v>
      </c>
      <c r="P155" s="41" t="s">
        <v>49</v>
      </c>
      <c r="AI155" s="12" t="s">
        <v>49</v>
      </c>
      <c r="AS155" s="1">
        <f>SUM(AJ156:AJ165)</f>
        <v>0</v>
      </c>
      <c r="AT155" s="1">
        <f>SUM(AK156:AK165)</f>
        <v>0</v>
      </c>
      <c r="AU155" s="1">
        <f>SUM(AL156:AL165)</f>
        <v>0</v>
      </c>
    </row>
    <row r="156" spans="1:76" ht="14.35" x14ac:dyDescent="0.5">
      <c r="A156" s="2" t="s">
        <v>386</v>
      </c>
      <c r="B156" s="3" t="s">
        <v>49</v>
      </c>
      <c r="C156" s="3" t="s">
        <v>388</v>
      </c>
      <c r="D156" s="72" t="s">
        <v>389</v>
      </c>
      <c r="E156" s="73"/>
      <c r="F156" s="3" t="s">
        <v>125</v>
      </c>
      <c r="G156" s="31">
        <v>20.71</v>
      </c>
      <c r="H156" s="71"/>
      <c r="I156" s="32" t="s">
        <v>56</v>
      </c>
      <c r="J156" s="31">
        <f>G156*AO156</f>
        <v>0</v>
      </c>
      <c r="K156" s="31">
        <f>G156*AP156</f>
        <v>0</v>
      </c>
      <c r="L156" s="31">
        <f>G156*H156</f>
        <v>0</v>
      </c>
      <c r="M156" s="31">
        <f>L156*(1+BW156/100)</f>
        <v>0</v>
      </c>
      <c r="N156" s="31">
        <v>1.6490000000000001E-2</v>
      </c>
      <c r="O156" s="31">
        <f>G156*N156</f>
        <v>0.34150790000000003</v>
      </c>
      <c r="P156" s="33" t="s">
        <v>57</v>
      </c>
      <c r="Z156" s="31">
        <f>IF(AQ156="5",BJ156,0)</f>
        <v>0</v>
      </c>
      <c r="AB156" s="31">
        <f>IF(AQ156="1",BH156,0)</f>
        <v>0</v>
      </c>
      <c r="AC156" s="31">
        <f>IF(AQ156="1",BI156,0)</f>
        <v>0</v>
      </c>
      <c r="AD156" s="31">
        <f>IF(AQ156="7",BH156,0)</f>
        <v>0</v>
      </c>
      <c r="AE156" s="31">
        <f>IF(AQ156="7",BI156,0)</f>
        <v>0</v>
      </c>
      <c r="AF156" s="31">
        <f>IF(AQ156="2",BH156,0)</f>
        <v>0</v>
      </c>
      <c r="AG156" s="31">
        <f>IF(AQ156="2",BI156,0)</f>
        <v>0</v>
      </c>
      <c r="AH156" s="31">
        <f>IF(AQ156="0",BJ156,0)</f>
        <v>0</v>
      </c>
      <c r="AI156" s="12" t="s">
        <v>49</v>
      </c>
      <c r="AJ156" s="31">
        <f>IF(AN156=0,L156,0)</f>
        <v>0</v>
      </c>
      <c r="AK156" s="31">
        <f>IF(AN156=12,L156,0)</f>
        <v>0</v>
      </c>
      <c r="AL156" s="31">
        <f>IF(AN156=21,L156,0)</f>
        <v>0</v>
      </c>
      <c r="AN156" s="31">
        <v>21</v>
      </c>
      <c r="AO156" s="31">
        <f>H156*0.069631113</f>
        <v>0</v>
      </c>
      <c r="AP156" s="31">
        <f>H156*(1-0.069631113)</f>
        <v>0</v>
      </c>
      <c r="AQ156" s="32" t="s">
        <v>52</v>
      </c>
      <c r="AV156" s="31">
        <f>AW156+AX156</f>
        <v>0</v>
      </c>
      <c r="AW156" s="31">
        <f>G156*AO156</f>
        <v>0</v>
      </c>
      <c r="AX156" s="31">
        <f>G156*AP156</f>
        <v>0</v>
      </c>
      <c r="AY156" s="32" t="s">
        <v>390</v>
      </c>
      <c r="AZ156" s="32" t="s">
        <v>347</v>
      </c>
      <c r="BA156" s="12" t="s">
        <v>60</v>
      </c>
      <c r="BC156" s="31">
        <f>AW156+AX156</f>
        <v>0</v>
      </c>
      <c r="BD156" s="31">
        <f>H156/(100-BE156)*100</f>
        <v>0</v>
      </c>
      <c r="BE156" s="31">
        <v>0</v>
      </c>
      <c r="BF156" s="31">
        <f>O156</f>
        <v>0.34150790000000003</v>
      </c>
      <c r="BH156" s="31">
        <f>G156*AO156</f>
        <v>0</v>
      </c>
      <c r="BI156" s="31">
        <f>G156*AP156</f>
        <v>0</v>
      </c>
      <c r="BJ156" s="31">
        <f>G156*H156</f>
        <v>0</v>
      </c>
      <c r="BK156" s="31"/>
      <c r="BL156" s="31">
        <v>62</v>
      </c>
      <c r="BW156" s="31" t="str">
        <f>I156</f>
        <v>21</v>
      </c>
      <c r="BX156" s="4" t="s">
        <v>389</v>
      </c>
    </row>
    <row r="157" spans="1:76" ht="14.35" x14ac:dyDescent="0.5">
      <c r="A157" s="34"/>
      <c r="D157" s="35" t="s">
        <v>174</v>
      </c>
      <c r="E157" s="35" t="s">
        <v>175</v>
      </c>
      <c r="G157" s="36">
        <v>0.71</v>
      </c>
      <c r="P157" s="37"/>
    </row>
    <row r="158" spans="1:76" ht="14.35" x14ac:dyDescent="0.5">
      <c r="A158" s="34"/>
      <c r="D158" s="35" t="s">
        <v>155</v>
      </c>
      <c r="E158" s="35" t="s">
        <v>391</v>
      </c>
      <c r="G158" s="36">
        <v>20</v>
      </c>
      <c r="P158" s="37"/>
    </row>
    <row r="159" spans="1:76" ht="14.35" x14ac:dyDescent="0.5">
      <c r="A159" s="2" t="s">
        <v>392</v>
      </c>
      <c r="B159" s="3" t="s">
        <v>49</v>
      </c>
      <c r="C159" s="3" t="s">
        <v>393</v>
      </c>
      <c r="D159" s="72" t="s">
        <v>394</v>
      </c>
      <c r="E159" s="73"/>
      <c r="F159" s="3" t="s">
        <v>125</v>
      </c>
      <c r="G159" s="31">
        <v>40.159999999999997</v>
      </c>
      <c r="H159" s="71"/>
      <c r="I159" s="32" t="s">
        <v>56</v>
      </c>
      <c r="J159" s="31">
        <f>G159*AO159</f>
        <v>0</v>
      </c>
      <c r="K159" s="31">
        <f>G159*AP159</f>
        <v>0</v>
      </c>
      <c r="L159" s="31">
        <f>G159*H159</f>
        <v>0</v>
      </c>
      <c r="M159" s="31">
        <f>L159*(1+BW159/100)</f>
        <v>0</v>
      </c>
      <c r="N159" s="31">
        <v>1.315E-2</v>
      </c>
      <c r="O159" s="31">
        <f>G159*N159</f>
        <v>0.52810400000000002</v>
      </c>
      <c r="P159" s="33" t="s">
        <v>395</v>
      </c>
      <c r="Z159" s="31">
        <f>IF(AQ159="5",BJ159,0)</f>
        <v>0</v>
      </c>
      <c r="AB159" s="31">
        <f>IF(AQ159="1",BH159,0)</f>
        <v>0</v>
      </c>
      <c r="AC159" s="31">
        <f>IF(AQ159="1",BI159,0)</f>
        <v>0</v>
      </c>
      <c r="AD159" s="31">
        <f>IF(AQ159="7",BH159,0)</f>
        <v>0</v>
      </c>
      <c r="AE159" s="31">
        <f>IF(AQ159="7",BI159,0)</f>
        <v>0</v>
      </c>
      <c r="AF159" s="31">
        <f>IF(AQ159="2",BH159,0)</f>
        <v>0</v>
      </c>
      <c r="AG159" s="31">
        <f>IF(AQ159="2",BI159,0)</f>
        <v>0</v>
      </c>
      <c r="AH159" s="31">
        <f>IF(AQ159="0",BJ159,0)</f>
        <v>0</v>
      </c>
      <c r="AI159" s="12" t="s">
        <v>49</v>
      </c>
      <c r="AJ159" s="31">
        <f>IF(AN159=0,L159,0)</f>
        <v>0</v>
      </c>
      <c r="AK159" s="31">
        <f>IF(AN159=12,L159,0)</f>
        <v>0</v>
      </c>
      <c r="AL159" s="31">
        <f>IF(AN159=21,L159,0)</f>
        <v>0</v>
      </c>
      <c r="AN159" s="31">
        <v>21</v>
      </c>
      <c r="AO159" s="31">
        <f>H159*0.110891455</f>
        <v>0</v>
      </c>
      <c r="AP159" s="31">
        <f>H159*(1-0.110891455)</f>
        <v>0</v>
      </c>
      <c r="AQ159" s="32" t="s">
        <v>52</v>
      </c>
      <c r="AV159" s="31">
        <f>AW159+AX159</f>
        <v>0</v>
      </c>
      <c r="AW159" s="31">
        <f>G159*AO159</f>
        <v>0</v>
      </c>
      <c r="AX159" s="31">
        <f>G159*AP159</f>
        <v>0</v>
      </c>
      <c r="AY159" s="32" t="s">
        <v>390</v>
      </c>
      <c r="AZ159" s="32" t="s">
        <v>347</v>
      </c>
      <c r="BA159" s="12" t="s">
        <v>60</v>
      </c>
      <c r="BC159" s="31">
        <f>AW159+AX159</f>
        <v>0</v>
      </c>
      <c r="BD159" s="31">
        <f>H159/(100-BE159)*100</f>
        <v>0</v>
      </c>
      <c r="BE159" s="31">
        <v>0</v>
      </c>
      <c r="BF159" s="31">
        <f>O159</f>
        <v>0.52810400000000002</v>
      </c>
      <c r="BH159" s="31">
        <f>G159*AO159</f>
        <v>0</v>
      </c>
      <c r="BI159" s="31">
        <f>G159*AP159</f>
        <v>0</v>
      </c>
      <c r="BJ159" s="31">
        <f>G159*H159</f>
        <v>0</v>
      </c>
      <c r="BK159" s="31"/>
      <c r="BL159" s="31">
        <v>62</v>
      </c>
      <c r="BW159" s="31" t="str">
        <f>I159</f>
        <v>21</v>
      </c>
      <c r="BX159" s="4" t="s">
        <v>394</v>
      </c>
    </row>
    <row r="160" spans="1:76" ht="14.35" x14ac:dyDescent="0.5">
      <c r="A160" s="34"/>
      <c r="D160" s="35" t="s">
        <v>396</v>
      </c>
      <c r="E160" s="35" t="s">
        <v>397</v>
      </c>
      <c r="G160" s="36">
        <v>40.159999999999997</v>
      </c>
      <c r="P160" s="37"/>
    </row>
    <row r="161" spans="1:76" ht="14.35" x14ac:dyDescent="0.5">
      <c r="A161" s="2" t="s">
        <v>398</v>
      </c>
      <c r="B161" s="3" t="s">
        <v>49</v>
      </c>
      <c r="C161" s="3" t="s">
        <v>399</v>
      </c>
      <c r="D161" s="72" t="s">
        <v>400</v>
      </c>
      <c r="E161" s="73"/>
      <c r="F161" s="3" t="s">
        <v>125</v>
      </c>
      <c r="G161" s="31">
        <v>104.5</v>
      </c>
      <c r="H161" s="71"/>
      <c r="I161" s="32" t="s">
        <v>56</v>
      </c>
      <c r="J161" s="31">
        <f>G161*AO161</f>
        <v>0</v>
      </c>
      <c r="K161" s="31">
        <f>G161*AP161</f>
        <v>0</v>
      </c>
      <c r="L161" s="31">
        <f>G161*H161</f>
        <v>0</v>
      </c>
      <c r="M161" s="31">
        <f>L161*(1+BW161/100)</f>
        <v>0</v>
      </c>
      <c r="N161" s="31">
        <v>0</v>
      </c>
      <c r="O161" s="31">
        <f>G161*N161</f>
        <v>0</v>
      </c>
      <c r="P161" s="33" t="s">
        <v>57</v>
      </c>
      <c r="Z161" s="31">
        <f>IF(AQ161="5",BJ161,0)</f>
        <v>0</v>
      </c>
      <c r="AB161" s="31">
        <f>IF(AQ161="1",BH161,0)</f>
        <v>0</v>
      </c>
      <c r="AC161" s="31">
        <f>IF(AQ161="1",BI161,0)</f>
        <v>0</v>
      </c>
      <c r="AD161" s="31">
        <f>IF(AQ161="7",BH161,0)</f>
        <v>0</v>
      </c>
      <c r="AE161" s="31">
        <f>IF(AQ161="7",BI161,0)</f>
        <v>0</v>
      </c>
      <c r="AF161" s="31">
        <f>IF(AQ161="2",BH161,0)</f>
        <v>0</v>
      </c>
      <c r="AG161" s="31">
        <f>IF(AQ161="2",BI161,0)</f>
        <v>0</v>
      </c>
      <c r="AH161" s="31">
        <f>IF(AQ161="0",BJ161,0)</f>
        <v>0</v>
      </c>
      <c r="AI161" s="12" t="s">
        <v>49</v>
      </c>
      <c r="AJ161" s="31">
        <f>IF(AN161=0,L161,0)</f>
        <v>0</v>
      </c>
      <c r="AK161" s="31">
        <f>IF(AN161=12,L161,0)</f>
        <v>0</v>
      </c>
      <c r="AL161" s="31">
        <f>IF(AN161=21,L161,0)</f>
        <v>0</v>
      </c>
      <c r="AN161" s="31">
        <v>21</v>
      </c>
      <c r="AO161" s="31">
        <f>H161*0</f>
        <v>0</v>
      </c>
      <c r="AP161" s="31">
        <f>H161*(1-0)</f>
        <v>0</v>
      </c>
      <c r="AQ161" s="32" t="s">
        <v>52</v>
      </c>
      <c r="AV161" s="31">
        <f>AW161+AX161</f>
        <v>0</v>
      </c>
      <c r="AW161" s="31">
        <f>G161*AO161</f>
        <v>0</v>
      </c>
      <c r="AX161" s="31">
        <f>G161*AP161</f>
        <v>0</v>
      </c>
      <c r="AY161" s="32" t="s">
        <v>390</v>
      </c>
      <c r="AZ161" s="32" t="s">
        <v>347</v>
      </c>
      <c r="BA161" s="12" t="s">
        <v>60</v>
      </c>
      <c r="BC161" s="31">
        <f>AW161+AX161</f>
        <v>0</v>
      </c>
      <c r="BD161" s="31">
        <f>H161/(100-BE161)*100</f>
        <v>0</v>
      </c>
      <c r="BE161" s="31">
        <v>0</v>
      </c>
      <c r="BF161" s="31">
        <f>O161</f>
        <v>0</v>
      </c>
      <c r="BH161" s="31">
        <f>G161*AO161</f>
        <v>0</v>
      </c>
      <c r="BI161" s="31">
        <f>G161*AP161</f>
        <v>0</v>
      </c>
      <c r="BJ161" s="31">
        <f>G161*H161</f>
        <v>0</v>
      </c>
      <c r="BK161" s="31"/>
      <c r="BL161" s="31">
        <v>62</v>
      </c>
      <c r="BW161" s="31" t="str">
        <f>I161</f>
        <v>21</v>
      </c>
      <c r="BX161" s="4" t="s">
        <v>400</v>
      </c>
    </row>
    <row r="162" spans="1:76" ht="14.35" x14ac:dyDescent="0.5">
      <c r="A162" s="34"/>
      <c r="D162" s="35" t="s">
        <v>401</v>
      </c>
      <c r="E162" s="35" t="s">
        <v>249</v>
      </c>
      <c r="G162" s="36">
        <v>104.5</v>
      </c>
      <c r="P162" s="37"/>
    </row>
    <row r="163" spans="1:76" ht="14.35" x14ac:dyDescent="0.5">
      <c r="A163" s="2" t="s">
        <v>402</v>
      </c>
      <c r="B163" s="3" t="s">
        <v>49</v>
      </c>
      <c r="C163" s="3" t="s">
        <v>403</v>
      </c>
      <c r="D163" s="72" t="s">
        <v>404</v>
      </c>
      <c r="E163" s="73"/>
      <c r="F163" s="3" t="s">
        <v>125</v>
      </c>
      <c r="G163" s="31">
        <v>104.5</v>
      </c>
      <c r="H163" s="71"/>
      <c r="I163" s="32" t="s">
        <v>56</v>
      </c>
      <c r="J163" s="31">
        <f>G163*AO163</f>
        <v>0</v>
      </c>
      <c r="K163" s="31">
        <f>G163*AP163</f>
        <v>0</v>
      </c>
      <c r="L163" s="31">
        <f>G163*H163</f>
        <v>0</v>
      </c>
      <c r="M163" s="31">
        <f>L163*(1+BW163/100)</f>
        <v>0</v>
      </c>
      <c r="N163" s="31">
        <v>4.3150000000000001E-2</v>
      </c>
      <c r="O163" s="31">
        <f>G163*N163</f>
        <v>4.5091749999999999</v>
      </c>
      <c r="P163" s="33" t="s">
        <v>57</v>
      </c>
      <c r="Z163" s="31">
        <f>IF(AQ163="5",BJ163,0)</f>
        <v>0</v>
      </c>
      <c r="AB163" s="31">
        <f>IF(AQ163="1",BH163,0)</f>
        <v>0</v>
      </c>
      <c r="AC163" s="31">
        <f>IF(AQ163="1",BI163,0)</f>
        <v>0</v>
      </c>
      <c r="AD163" s="31">
        <f>IF(AQ163="7",BH163,0)</f>
        <v>0</v>
      </c>
      <c r="AE163" s="31">
        <f>IF(AQ163="7",BI163,0)</f>
        <v>0</v>
      </c>
      <c r="AF163" s="31">
        <f>IF(AQ163="2",BH163,0)</f>
        <v>0</v>
      </c>
      <c r="AG163" s="31">
        <f>IF(AQ163="2",BI163,0)</f>
        <v>0</v>
      </c>
      <c r="AH163" s="31">
        <f>IF(AQ163="0",BJ163,0)</f>
        <v>0</v>
      </c>
      <c r="AI163" s="12" t="s">
        <v>49</v>
      </c>
      <c r="AJ163" s="31">
        <f>IF(AN163=0,L163,0)</f>
        <v>0</v>
      </c>
      <c r="AK163" s="31">
        <f>IF(AN163=12,L163,0)</f>
        <v>0</v>
      </c>
      <c r="AL163" s="31">
        <f>IF(AN163=21,L163,0)</f>
        <v>0</v>
      </c>
      <c r="AN163" s="31">
        <v>21</v>
      </c>
      <c r="AO163" s="31">
        <f>H163*0.313780399</f>
        <v>0</v>
      </c>
      <c r="AP163" s="31">
        <f>H163*(1-0.313780399)</f>
        <v>0</v>
      </c>
      <c r="AQ163" s="32" t="s">
        <v>52</v>
      </c>
      <c r="AV163" s="31">
        <f>AW163+AX163</f>
        <v>0</v>
      </c>
      <c r="AW163" s="31">
        <f>G163*AO163</f>
        <v>0</v>
      </c>
      <c r="AX163" s="31">
        <f>G163*AP163</f>
        <v>0</v>
      </c>
      <c r="AY163" s="32" t="s">
        <v>390</v>
      </c>
      <c r="AZ163" s="32" t="s">
        <v>347</v>
      </c>
      <c r="BA163" s="12" t="s">
        <v>60</v>
      </c>
      <c r="BC163" s="31">
        <f>AW163+AX163</f>
        <v>0</v>
      </c>
      <c r="BD163" s="31">
        <f>H163/(100-BE163)*100</f>
        <v>0</v>
      </c>
      <c r="BE163" s="31">
        <v>0</v>
      </c>
      <c r="BF163" s="31">
        <f>O163</f>
        <v>4.5091749999999999</v>
      </c>
      <c r="BH163" s="31">
        <f>G163*AO163</f>
        <v>0</v>
      </c>
      <c r="BI163" s="31">
        <f>G163*AP163</f>
        <v>0</v>
      </c>
      <c r="BJ163" s="31">
        <f>G163*H163</f>
        <v>0</v>
      </c>
      <c r="BK163" s="31"/>
      <c r="BL163" s="31">
        <v>62</v>
      </c>
      <c r="BW163" s="31" t="str">
        <f>I163</f>
        <v>21</v>
      </c>
      <c r="BX163" s="4" t="s">
        <v>404</v>
      </c>
    </row>
    <row r="164" spans="1:76" ht="14.35" x14ac:dyDescent="0.5">
      <c r="A164" s="34"/>
      <c r="D164" s="35" t="s">
        <v>401</v>
      </c>
      <c r="E164" s="35" t="s">
        <v>405</v>
      </c>
      <c r="G164" s="36">
        <v>104.5</v>
      </c>
      <c r="P164" s="37"/>
    </row>
    <row r="165" spans="1:76" ht="14.35" x14ac:dyDescent="0.5">
      <c r="A165" s="2" t="s">
        <v>406</v>
      </c>
      <c r="B165" s="3" t="s">
        <v>49</v>
      </c>
      <c r="C165" s="3" t="s">
        <v>407</v>
      </c>
      <c r="D165" s="72" t="s">
        <v>408</v>
      </c>
      <c r="E165" s="73"/>
      <c r="F165" s="3" t="s">
        <v>125</v>
      </c>
      <c r="G165" s="31">
        <v>104.5</v>
      </c>
      <c r="H165" s="71"/>
      <c r="I165" s="32" t="s">
        <v>56</v>
      </c>
      <c r="J165" s="31">
        <f>G165*AO165</f>
        <v>0</v>
      </c>
      <c r="K165" s="31">
        <f>G165*AP165</f>
        <v>0</v>
      </c>
      <c r="L165" s="31">
        <f>G165*H165</f>
        <v>0</v>
      </c>
      <c r="M165" s="31">
        <f>L165*(1+BW165/100)</f>
        <v>0</v>
      </c>
      <c r="N165" s="31">
        <v>6.0999999999999997E-4</v>
      </c>
      <c r="O165" s="31">
        <f>G165*N165</f>
        <v>6.3744999999999996E-2</v>
      </c>
      <c r="P165" s="33" t="s">
        <v>57</v>
      </c>
      <c r="Z165" s="31">
        <f>IF(AQ165="5",BJ165,0)</f>
        <v>0</v>
      </c>
      <c r="AB165" s="31">
        <f>IF(AQ165="1",BH165,0)</f>
        <v>0</v>
      </c>
      <c r="AC165" s="31">
        <f>IF(AQ165="1",BI165,0)</f>
        <v>0</v>
      </c>
      <c r="AD165" s="31">
        <f>IF(AQ165="7",BH165,0)</f>
        <v>0</v>
      </c>
      <c r="AE165" s="31">
        <f>IF(AQ165="7",BI165,0)</f>
        <v>0</v>
      </c>
      <c r="AF165" s="31">
        <f>IF(AQ165="2",BH165,0)</f>
        <v>0</v>
      </c>
      <c r="AG165" s="31">
        <f>IF(AQ165="2",BI165,0)</f>
        <v>0</v>
      </c>
      <c r="AH165" s="31">
        <f>IF(AQ165="0",BJ165,0)</f>
        <v>0</v>
      </c>
      <c r="AI165" s="12" t="s">
        <v>49</v>
      </c>
      <c r="AJ165" s="31">
        <f>IF(AN165=0,L165,0)</f>
        <v>0</v>
      </c>
      <c r="AK165" s="31">
        <f>IF(AN165=12,L165,0)</f>
        <v>0</v>
      </c>
      <c r="AL165" s="31">
        <f>IF(AN165=21,L165,0)</f>
        <v>0</v>
      </c>
      <c r="AN165" s="31">
        <v>21</v>
      </c>
      <c r="AO165" s="31">
        <f>H165*0.560221539</f>
        <v>0</v>
      </c>
      <c r="AP165" s="31">
        <f>H165*(1-0.560221539)</f>
        <v>0</v>
      </c>
      <c r="AQ165" s="32" t="s">
        <v>52</v>
      </c>
      <c r="AV165" s="31">
        <f>AW165+AX165</f>
        <v>0</v>
      </c>
      <c r="AW165" s="31">
        <f>G165*AO165</f>
        <v>0</v>
      </c>
      <c r="AX165" s="31">
        <f>G165*AP165</f>
        <v>0</v>
      </c>
      <c r="AY165" s="32" t="s">
        <v>390</v>
      </c>
      <c r="AZ165" s="32" t="s">
        <v>347</v>
      </c>
      <c r="BA165" s="12" t="s">
        <v>60</v>
      </c>
      <c r="BC165" s="31">
        <f>AW165+AX165</f>
        <v>0</v>
      </c>
      <c r="BD165" s="31">
        <f>H165/(100-BE165)*100</f>
        <v>0</v>
      </c>
      <c r="BE165" s="31">
        <v>0</v>
      </c>
      <c r="BF165" s="31">
        <f>O165</f>
        <v>6.3744999999999996E-2</v>
      </c>
      <c r="BH165" s="31">
        <f>G165*AO165</f>
        <v>0</v>
      </c>
      <c r="BI165" s="31">
        <f>G165*AP165</f>
        <v>0</v>
      </c>
      <c r="BJ165" s="31">
        <f>G165*H165</f>
        <v>0</v>
      </c>
      <c r="BK165" s="31"/>
      <c r="BL165" s="31">
        <v>62</v>
      </c>
      <c r="BW165" s="31" t="str">
        <f>I165</f>
        <v>21</v>
      </c>
      <c r="BX165" s="4" t="s">
        <v>408</v>
      </c>
    </row>
    <row r="166" spans="1:76" ht="14.35" x14ac:dyDescent="0.5">
      <c r="A166" s="34"/>
      <c r="D166" s="35" t="s">
        <v>401</v>
      </c>
      <c r="E166" s="35" t="s">
        <v>405</v>
      </c>
      <c r="G166" s="36">
        <v>104.5</v>
      </c>
      <c r="P166" s="37"/>
    </row>
    <row r="167" spans="1:76" ht="14.35" x14ac:dyDescent="0.5">
      <c r="A167" s="38" t="s">
        <v>49</v>
      </c>
      <c r="B167" s="39" t="s">
        <v>49</v>
      </c>
      <c r="C167" s="39" t="s">
        <v>392</v>
      </c>
      <c r="D167" s="126" t="s">
        <v>409</v>
      </c>
      <c r="E167" s="127"/>
      <c r="F167" s="40" t="s">
        <v>3</v>
      </c>
      <c r="G167" s="40" t="s">
        <v>3</v>
      </c>
      <c r="H167" s="40" t="s">
        <v>3</v>
      </c>
      <c r="I167" s="40" t="s">
        <v>3</v>
      </c>
      <c r="J167" s="1">
        <f>SUM(J168:J176)</f>
        <v>0</v>
      </c>
      <c r="K167" s="1">
        <f>SUM(K168:K176)</f>
        <v>0</v>
      </c>
      <c r="L167" s="1">
        <f>SUM(L168:L176)</f>
        <v>0</v>
      </c>
      <c r="M167" s="1">
        <f>SUM(M168:M176)</f>
        <v>0</v>
      </c>
      <c r="N167" s="12" t="s">
        <v>49</v>
      </c>
      <c r="O167" s="1">
        <f>SUM(O168:O176)</f>
        <v>74.157749999999993</v>
      </c>
      <c r="P167" s="41" t="s">
        <v>49</v>
      </c>
      <c r="AI167" s="12" t="s">
        <v>49</v>
      </c>
      <c r="AS167" s="1">
        <f>SUM(AJ168:AJ176)</f>
        <v>0</v>
      </c>
      <c r="AT167" s="1">
        <f>SUM(AK168:AK176)</f>
        <v>0</v>
      </c>
      <c r="AU167" s="1">
        <f>SUM(AL168:AL176)</f>
        <v>0</v>
      </c>
    </row>
    <row r="168" spans="1:76" ht="14.35" x14ac:dyDescent="0.5">
      <c r="A168" s="2" t="s">
        <v>410</v>
      </c>
      <c r="B168" s="3" t="s">
        <v>49</v>
      </c>
      <c r="C168" s="3" t="s">
        <v>411</v>
      </c>
      <c r="D168" s="72" t="s">
        <v>412</v>
      </c>
      <c r="E168" s="73"/>
      <c r="F168" s="3" t="s">
        <v>55</v>
      </c>
      <c r="G168" s="31">
        <v>7.31</v>
      </c>
      <c r="H168" s="71"/>
      <c r="I168" s="32" t="s">
        <v>56</v>
      </c>
      <c r="J168" s="31">
        <f>G168*AO168</f>
        <v>0</v>
      </c>
      <c r="K168" s="31">
        <f>G168*AP168</f>
        <v>0</v>
      </c>
      <c r="L168" s="31">
        <f>G168*H168</f>
        <v>0</v>
      </c>
      <c r="M168" s="31">
        <f>L168*(1+BW168/100)</f>
        <v>0</v>
      </c>
      <c r="N168" s="31">
        <v>2.5249999999999999</v>
      </c>
      <c r="O168" s="31">
        <f>G168*N168</f>
        <v>18.457749999999997</v>
      </c>
      <c r="P168" s="33" t="s">
        <v>57</v>
      </c>
      <c r="Z168" s="31">
        <f>IF(AQ168="5",BJ168,0)</f>
        <v>0</v>
      </c>
      <c r="AB168" s="31">
        <f>IF(AQ168="1",BH168,0)</f>
        <v>0</v>
      </c>
      <c r="AC168" s="31">
        <f>IF(AQ168="1",BI168,0)</f>
        <v>0</v>
      </c>
      <c r="AD168" s="31">
        <f>IF(AQ168="7",BH168,0)</f>
        <v>0</v>
      </c>
      <c r="AE168" s="31">
        <f>IF(AQ168="7",BI168,0)</f>
        <v>0</v>
      </c>
      <c r="AF168" s="31">
        <f>IF(AQ168="2",BH168,0)</f>
        <v>0</v>
      </c>
      <c r="AG168" s="31">
        <f>IF(AQ168="2",BI168,0)</f>
        <v>0</v>
      </c>
      <c r="AH168" s="31">
        <f>IF(AQ168="0",BJ168,0)</f>
        <v>0</v>
      </c>
      <c r="AI168" s="12" t="s">
        <v>49</v>
      </c>
      <c r="AJ168" s="31">
        <f>IF(AN168=0,L168,0)</f>
        <v>0</v>
      </c>
      <c r="AK168" s="31">
        <f>IF(AN168=12,L168,0)</f>
        <v>0</v>
      </c>
      <c r="AL168" s="31">
        <f>IF(AN168=21,L168,0)</f>
        <v>0</v>
      </c>
      <c r="AN168" s="31">
        <v>21</v>
      </c>
      <c r="AO168" s="31">
        <f>H168*0.765724635</f>
        <v>0</v>
      </c>
      <c r="AP168" s="31">
        <f>H168*(1-0.765724635)</f>
        <v>0</v>
      </c>
      <c r="AQ168" s="32" t="s">
        <v>52</v>
      </c>
      <c r="AV168" s="31">
        <f>AW168+AX168</f>
        <v>0</v>
      </c>
      <c r="AW168" s="31">
        <f>G168*AO168</f>
        <v>0</v>
      </c>
      <c r="AX168" s="31">
        <f>G168*AP168</f>
        <v>0</v>
      </c>
      <c r="AY168" s="32" t="s">
        <v>413</v>
      </c>
      <c r="AZ168" s="32" t="s">
        <v>347</v>
      </c>
      <c r="BA168" s="12" t="s">
        <v>60</v>
      </c>
      <c r="BC168" s="31">
        <f>AW168+AX168</f>
        <v>0</v>
      </c>
      <c r="BD168" s="31">
        <f>H168/(100-BE168)*100</f>
        <v>0</v>
      </c>
      <c r="BE168" s="31">
        <v>0</v>
      </c>
      <c r="BF168" s="31">
        <f>O168</f>
        <v>18.457749999999997</v>
      </c>
      <c r="BH168" s="31">
        <f>G168*AO168</f>
        <v>0</v>
      </c>
      <c r="BI168" s="31">
        <f>G168*AP168</f>
        <v>0</v>
      </c>
      <c r="BJ168" s="31">
        <f>G168*H168</f>
        <v>0</v>
      </c>
      <c r="BK168" s="31"/>
      <c r="BL168" s="31">
        <v>63</v>
      </c>
      <c r="BW168" s="31" t="str">
        <f>I168</f>
        <v>21</v>
      </c>
      <c r="BX168" s="4" t="s">
        <v>412</v>
      </c>
    </row>
    <row r="169" spans="1:76" ht="14.35" x14ac:dyDescent="0.5">
      <c r="A169" s="34"/>
      <c r="D169" s="35" t="s">
        <v>414</v>
      </c>
      <c r="E169" s="35" t="s">
        <v>415</v>
      </c>
      <c r="G169" s="36">
        <v>0.43</v>
      </c>
      <c r="P169" s="37"/>
    </row>
    <row r="170" spans="1:76" ht="14.35" x14ac:dyDescent="0.5">
      <c r="A170" s="34"/>
      <c r="D170" s="35" t="s">
        <v>301</v>
      </c>
      <c r="E170" s="35" t="s">
        <v>302</v>
      </c>
      <c r="G170" s="36">
        <v>2.41</v>
      </c>
      <c r="P170" s="37"/>
    </row>
    <row r="171" spans="1:76" ht="14.35" x14ac:dyDescent="0.5">
      <c r="A171" s="34"/>
      <c r="D171" s="35" t="s">
        <v>303</v>
      </c>
      <c r="E171" s="35" t="s">
        <v>304</v>
      </c>
      <c r="G171" s="36">
        <v>4.47</v>
      </c>
      <c r="P171" s="37"/>
    </row>
    <row r="172" spans="1:76" ht="14.35" x14ac:dyDescent="0.5">
      <c r="A172" s="2" t="s">
        <v>416</v>
      </c>
      <c r="B172" s="3" t="s">
        <v>49</v>
      </c>
      <c r="C172" s="3" t="s">
        <v>417</v>
      </c>
      <c r="D172" s="72" t="s">
        <v>418</v>
      </c>
      <c r="E172" s="73"/>
      <c r="F172" s="3" t="s">
        <v>55</v>
      </c>
      <c r="G172" s="31">
        <v>0.5</v>
      </c>
      <c r="H172" s="71"/>
      <c r="I172" s="32" t="s">
        <v>56</v>
      </c>
      <c r="J172" s="31">
        <f>G172*AO172</f>
        <v>0</v>
      </c>
      <c r="K172" s="31">
        <f>G172*AP172</f>
        <v>0</v>
      </c>
      <c r="L172" s="31">
        <f>G172*H172</f>
        <v>0</v>
      </c>
      <c r="M172" s="31">
        <f>L172*(1+BW172/100)</f>
        <v>0</v>
      </c>
      <c r="N172" s="31">
        <v>2.5</v>
      </c>
      <c r="O172" s="31">
        <f>G172*N172</f>
        <v>1.25</v>
      </c>
      <c r="P172" s="33" t="s">
        <v>57</v>
      </c>
      <c r="Z172" s="31">
        <f>IF(AQ172="5",BJ172,0)</f>
        <v>0</v>
      </c>
      <c r="AB172" s="31">
        <f>IF(AQ172="1",BH172,0)</f>
        <v>0</v>
      </c>
      <c r="AC172" s="31">
        <f>IF(AQ172="1",BI172,0)</f>
        <v>0</v>
      </c>
      <c r="AD172" s="31">
        <f>IF(AQ172="7",BH172,0)</f>
        <v>0</v>
      </c>
      <c r="AE172" s="31">
        <f>IF(AQ172="7",BI172,0)</f>
        <v>0</v>
      </c>
      <c r="AF172" s="31">
        <f>IF(AQ172="2",BH172,0)</f>
        <v>0</v>
      </c>
      <c r="AG172" s="31">
        <f>IF(AQ172="2",BI172,0)</f>
        <v>0</v>
      </c>
      <c r="AH172" s="31">
        <f>IF(AQ172="0",BJ172,0)</f>
        <v>0</v>
      </c>
      <c r="AI172" s="12" t="s">
        <v>49</v>
      </c>
      <c r="AJ172" s="31">
        <f>IF(AN172=0,L172,0)</f>
        <v>0</v>
      </c>
      <c r="AK172" s="31">
        <f>IF(AN172=12,L172,0)</f>
        <v>0</v>
      </c>
      <c r="AL172" s="31">
        <f>IF(AN172=21,L172,0)</f>
        <v>0</v>
      </c>
      <c r="AN172" s="31">
        <v>21</v>
      </c>
      <c r="AO172" s="31">
        <f>H172*0.510879552</f>
        <v>0</v>
      </c>
      <c r="AP172" s="31">
        <f>H172*(1-0.510879552)</f>
        <v>0</v>
      </c>
      <c r="AQ172" s="32" t="s">
        <v>52</v>
      </c>
      <c r="AV172" s="31">
        <f>AW172+AX172</f>
        <v>0</v>
      </c>
      <c r="AW172" s="31">
        <f>G172*AO172</f>
        <v>0</v>
      </c>
      <c r="AX172" s="31">
        <f>G172*AP172</f>
        <v>0</v>
      </c>
      <c r="AY172" s="32" t="s">
        <v>413</v>
      </c>
      <c r="AZ172" s="32" t="s">
        <v>347</v>
      </c>
      <c r="BA172" s="12" t="s">
        <v>60</v>
      </c>
      <c r="BC172" s="31">
        <f>AW172+AX172</f>
        <v>0</v>
      </c>
      <c r="BD172" s="31">
        <f>H172/(100-BE172)*100</f>
        <v>0</v>
      </c>
      <c r="BE172" s="31">
        <v>0</v>
      </c>
      <c r="BF172" s="31">
        <f>O172</f>
        <v>1.25</v>
      </c>
      <c r="BH172" s="31">
        <f>G172*AO172</f>
        <v>0</v>
      </c>
      <c r="BI172" s="31">
        <f>G172*AP172</f>
        <v>0</v>
      </c>
      <c r="BJ172" s="31">
        <f>G172*H172</f>
        <v>0</v>
      </c>
      <c r="BK172" s="31"/>
      <c r="BL172" s="31">
        <v>63</v>
      </c>
      <c r="BW172" s="31" t="str">
        <f>I172</f>
        <v>21</v>
      </c>
      <c r="BX172" s="4" t="s">
        <v>418</v>
      </c>
    </row>
    <row r="173" spans="1:76" ht="14.35" x14ac:dyDescent="0.5">
      <c r="A173" s="34"/>
      <c r="D173" s="35" t="s">
        <v>419</v>
      </c>
      <c r="E173" s="35" t="s">
        <v>420</v>
      </c>
      <c r="G173" s="36">
        <v>0.5</v>
      </c>
      <c r="P173" s="37"/>
    </row>
    <row r="174" spans="1:76" ht="14.35" x14ac:dyDescent="0.5">
      <c r="A174" s="2" t="s">
        <v>421</v>
      </c>
      <c r="B174" s="3" t="s">
        <v>49</v>
      </c>
      <c r="C174" s="3" t="s">
        <v>422</v>
      </c>
      <c r="D174" s="72" t="s">
        <v>423</v>
      </c>
      <c r="E174" s="73"/>
      <c r="F174" s="3" t="s">
        <v>55</v>
      </c>
      <c r="G174" s="31">
        <v>33</v>
      </c>
      <c r="H174" s="71"/>
      <c r="I174" s="32" t="s">
        <v>56</v>
      </c>
      <c r="J174" s="31">
        <f>G174*AO174</f>
        <v>0</v>
      </c>
      <c r="K174" s="31">
        <f>G174*AP174</f>
        <v>0</v>
      </c>
      <c r="L174" s="31">
        <f>G174*H174</f>
        <v>0</v>
      </c>
      <c r="M174" s="31">
        <f>L174*(1+BW174/100)</f>
        <v>0</v>
      </c>
      <c r="N174" s="31">
        <v>0</v>
      </c>
      <c r="O174" s="31">
        <f>G174*N174</f>
        <v>0</v>
      </c>
      <c r="P174" s="33" t="s">
        <v>57</v>
      </c>
      <c r="Z174" s="31">
        <f>IF(AQ174="5",BJ174,0)</f>
        <v>0</v>
      </c>
      <c r="AB174" s="31">
        <f>IF(AQ174="1",BH174,0)</f>
        <v>0</v>
      </c>
      <c r="AC174" s="31">
        <f>IF(AQ174="1",BI174,0)</f>
        <v>0</v>
      </c>
      <c r="AD174" s="31">
        <f>IF(AQ174="7",BH174,0)</f>
        <v>0</v>
      </c>
      <c r="AE174" s="31">
        <f>IF(AQ174="7",BI174,0)</f>
        <v>0</v>
      </c>
      <c r="AF174" s="31">
        <f>IF(AQ174="2",BH174,0)</f>
        <v>0</v>
      </c>
      <c r="AG174" s="31">
        <f>IF(AQ174="2",BI174,0)</f>
        <v>0</v>
      </c>
      <c r="AH174" s="31">
        <f>IF(AQ174="0",BJ174,0)</f>
        <v>0</v>
      </c>
      <c r="AI174" s="12" t="s">
        <v>49</v>
      </c>
      <c r="AJ174" s="31">
        <f>IF(AN174=0,L174,0)</f>
        <v>0</v>
      </c>
      <c r="AK174" s="31">
        <f>IF(AN174=12,L174,0)</f>
        <v>0</v>
      </c>
      <c r="AL174" s="31">
        <f>IF(AN174=21,L174,0)</f>
        <v>0</v>
      </c>
      <c r="AN174" s="31">
        <v>21</v>
      </c>
      <c r="AO174" s="31">
        <f>H174*0</f>
        <v>0</v>
      </c>
      <c r="AP174" s="31">
        <f>H174*(1-0)</f>
        <v>0</v>
      </c>
      <c r="AQ174" s="32" t="s">
        <v>52</v>
      </c>
      <c r="AV174" s="31">
        <f>AW174+AX174</f>
        <v>0</v>
      </c>
      <c r="AW174" s="31">
        <f>G174*AO174</f>
        <v>0</v>
      </c>
      <c r="AX174" s="31">
        <f>G174*AP174</f>
        <v>0</v>
      </c>
      <c r="AY174" s="32" t="s">
        <v>413</v>
      </c>
      <c r="AZ174" s="32" t="s">
        <v>347</v>
      </c>
      <c r="BA174" s="12" t="s">
        <v>60</v>
      </c>
      <c r="BC174" s="31">
        <f>AW174+AX174</f>
        <v>0</v>
      </c>
      <c r="BD174" s="31">
        <f>H174/(100-BE174)*100</f>
        <v>0</v>
      </c>
      <c r="BE174" s="31">
        <v>0</v>
      </c>
      <c r="BF174" s="31">
        <f>O174</f>
        <v>0</v>
      </c>
      <c r="BH174" s="31">
        <f>G174*AO174</f>
        <v>0</v>
      </c>
      <c r="BI174" s="31">
        <f>G174*AP174</f>
        <v>0</v>
      </c>
      <c r="BJ174" s="31">
        <f>G174*H174</f>
        <v>0</v>
      </c>
      <c r="BK174" s="31"/>
      <c r="BL174" s="31">
        <v>63</v>
      </c>
      <c r="BW174" s="31" t="str">
        <f>I174</f>
        <v>21</v>
      </c>
      <c r="BX174" s="4" t="s">
        <v>423</v>
      </c>
    </row>
    <row r="175" spans="1:76" ht="14.35" x14ac:dyDescent="0.5">
      <c r="A175" s="34"/>
      <c r="D175" s="35" t="s">
        <v>424</v>
      </c>
      <c r="E175" s="35" t="s">
        <v>425</v>
      </c>
      <c r="G175" s="36">
        <v>33</v>
      </c>
      <c r="P175" s="37"/>
    </row>
    <row r="176" spans="1:76" ht="14.35" x14ac:dyDescent="0.5">
      <c r="A176" s="2" t="s">
        <v>426</v>
      </c>
      <c r="B176" s="3" t="s">
        <v>49</v>
      </c>
      <c r="C176" s="3" t="s">
        <v>427</v>
      </c>
      <c r="D176" s="72" t="s">
        <v>428</v>
      </c>
      <c r="E176" s="73"/>
      <c r="F176" s="3" t="s">
        <v>131</v>
      </c>
      <c r="G176" s="31">
        <v>54450</v>
      </c>
      <c r="H176" s="71"/>
      <c r="I176" s="32" t="s">
        <v>56</v>
      </c>
      <c r="J176" s="31">
        <f>G176*AO176</f>
        <v>0</v>
      </c>
      <c r="K176" s="31">
        <f>G176*AP176</f>
        <v>0</v>
      </c>
      <c r="L176" s="31">
        <f>G176*H176</f>
        <v>0</v>
      </c>
      <c r="M176" s="31">
        <f>L176*(1+BW176/100)</f>
        <v>0</v>
      </c>
      <c r="N176" s="31">
        <v>1E-3</v>
      </c>
      <c r="O176" s="31">
        <f>G176*N176</f>
        <v>54.45</v>
      </c>
      <c r="P176" s="33" t="s">
        <v>57</v>
      </c>
      <c r="Z176" s="31">
        <f>IF(AQ176="5",BJ176,0)</f>
        <v>0</v>
      </c>
      <c r="AB176" s="31">
        <f>IF(AQ176="1",BH176,0)</f>
        <v>0</v>
      </c>
      <c r="AC176" s="31">
        <f>IF(AQ176="1",BI176,0)</f>
        <v>0</v>
      </c>
      <c r="AD176" s="31">
        <f>IF(AQ176="7",BH176,0)</f>
        <v>0</v>
      </c>
      <c r="AE176" s="31">
        <f>IF(AQ176="7",BI176,0)</f>
        <v>0</v>
      </c>
      <c r="AF176" s="31">
        <f>IF(AQ176="2",BH176,0)</f>
        <v>0</v>
      </c>
      <c r="AG176" s="31">
        <f>IF(AQ176="2",BI176,0)</f>
        <v>0</v>
      </c>
      <c r="AH176" s="31">
        <f>IF(AQ176="0",BJ176,0)</f>
        <v>0</v>
      </c>
      <c r="AI176" s="12" t="s">
        <v>49</v>
      </c>
      <c r="AJ176" s="31">
        <f>IF(AN176=0,L176,0)</f>
        <v>0</v>
      </c>
      <c r="AK176" s="31">
        <f>IF(AN176=12,L176,0)</f>
        <v>0</v>
      </c>
      <c r="AL176" s="31">
        <f>IF(AN176=21,L176,0)</f>
        <v>0</v>
      </c>
      <c r="AN176" s="31">
        <v>21</v>
      </c>
      <c r="AO176" s="31">
        <f>H176*1</f>
        <v>0</v>
      </c>
      <c r="AP176" s="31">
        <f>H176*(1-1)</f>
        <v>0</v>
      </c>
      <c r="AQ176" s="32" t="s">
        <v>52</v>
      </c>
      <c r="AV176" s="31">
        <f>AW176+AX176</f>
        <v>0</v>
      </c>
      <c r="AW176" s="31">
        <f>G176*AO176</f>
        <v>0</v>
      </c>
      <c r="AX176" s="31">
        <f>G176*AP176</f>
        <v>0</v>
      </c>
      <c r="AY176" s="32" t="s">
        <v>413</v>
      </c>
      <c r="AZ176" s="32" t="s">
        <v>347</v>
      </c>
      <c r="BA176" s="12" t="s">
        <v>60</v>
      </c>
      <c r="BC176" s="31">
        <f>AW176+AX176</f>
        <v>0</v>
      </c>
      <c r="BD176" s="31">
        <f>H176/(100-BE176)*100</f>
        <v>0</v>
      </c>
      <c r="BE176" s="31">
        <v>0</v>
      </c>
      <c r="BF176" s="31">
        <f>O176</f>
        <v>54.45</v>
      </c>
      <c r="BH176" s="31">
        <f>G176*AO176</f>
        <v>0</v>
      </c>
      <c r="BI176" s="31">
        <f>G176*AP176</f>
        <v>0</v>
      </c>
      <c r="BJ176" s="31">
        <f>G176*H176</f>
        <v>0</v>
      </c>
      <c r="BK176" s="31"/>
      <c r="BL176" s="31">
        <v>63</v>
      </c>
      <c r="BW176" s="31" t="str">
        <f>I176</f>
        <v>21</v>
      </c>
      <c r="BX176" s="4" t="s">
        <v>428</v>
      </c>
    </row>
    <row r="177" spans="1:76" ht="14.35" x14ac:dyDescent="0.5">
      <c r="A177" s="34"/>
      <c r="D177" s="35" t="s">
        <v>429</v>
      </c>
      <c r="E177" s="35" t="s">
        <v>49</v>
      </c>
      <c r="G177" s="36">
        <v>54450</v>
      </c>
      <c r="P177" s="37"/>
    </row>
    <row r="178" spans="1:76" ht="14.35" x14ac:dyDescent="0.5">
      <c r="A178" s="38" t="s">
        <v>49</v>
      </c>
      <c r="B178" s="39" t="s">
        <v>49</v>
      </c>
      <c r="C178" s="39" t="s">
        <v>398</v>
      </c>
      <c r="D178" s="126" t="s">
        <v>430</v>
      </c>
      <c r="E178" s="127"/>
      <c r="F178" s="40" t="s">
        <v>3</v>
      </c>
      <c r="G178" s="40" t="s">
        <v>3</v>
      </c>
      <c r="H178" s="40" t="s">
        <v>3</v>
      </c>
      <c r="I178" s="40" t="s">
        <v>3</v>
      </c>
      <c r="J178" s="1">
        <f>SUM(J179:J181)</f>
        <v>0</v>
      </c>
      <c r="K178" s="1">
        <f>SUM(K179:K181)</f>
        <v>0</v>
      </c>
      <c r="L178" s="1">
        <f>SUM(L179:L181)</f>
        <v>0</v>
      </c>
      <c r="M178" s="1">
        <f>SUM(M179:M181)</f>
        <v>0</v>
      </c>
      <c r="N178" s="12" t="s">
        <v>49</v>
      </c>
      <c r="O178" s="1">
        <f>SUM(O179:O181)</f>
        <v>0.17765</v>
      </c>
      <c r="P178" s="41" t="s">
        <v>49</v>
      </c>
      <c r="AI178" s="12" t="s">
        <v>49</v>
      </c>
      <c r="AS178" s="1">
        <f>SUM(AJ179:AJ181)</f>
        <v>0</v>
      </c>
      <c r="AT178" s="1">
        <f>SUM(AK179:AK181)</f>
        <v>0</v>
      </c>
      <c r="AU178" s="1">
        <f>SUM(AL179:AL181)</f>
        <v>0</v>
      </c>
    </row>
    <row r="179" spans="1:76" ht="14.35" x14ac:dyDescent="0.5">
      <c r="A179" s="2" t="s">
        <v>431</v>
      </c>
      <c r="B179" s="3" t="s">
        <v>49</v>
      </c>
      <c r="C179" s="3" t="s">
        <v>432</v>
      </c>
      <c r="D179" s="72" t="s">
        <v>433</v>
      </c>
      <c r="E179" s="73"/>
      <c r="F179" s="3" t="s">
        <v>179</v>
      </c>
      <c r="G179" s="31">
        <v>3</v>
      </c>
      <c r="H179" s="71"/>
      <c r="I179" s="32" t="s">
        <v>56</v>
      </c>
      <c r="J179" s="31">
        <f>G179*AO179</f>
        <v>0</v>
      </c>
      <c r="K179" s="31">
        <f>G179*AP179</f>
        <v>0</v>
      </c>
      <c r="L179" s="31">
        <f>G179*H179</f>
        <v>0</v>
      </c>
      <c r="M179" s="31">
        <f>L179*(1+BW179/100)</f>
        <v>0</v>
      </c>
      <c r="N179" s="31">
        <v>4.0480000000000002E-2</v>
      </c>
      <c r="O179" s="31">
        <f>G179*N179</f>
        <v>0.12144000000000001</v>
      </c>
      <c r="P179" s="33" t="s">
        <v>57</v>
      </c>
      <c r="Z179" s="31">
        <f>IF(AQ179="5",BJ179,0)</f>
        <v>0</v>
      </c>
      <c r="AB179" s="31">
        <f>IF(AQ179="1",BH179,0)</f>
        <v>0</v>
      </c>
      <c r="AC179" s="31">
        <f>IF(AQ179="1",BI179,0)</f>
        <v>0</v>
      </c>
      <c r="AD179" s="31">
        <f>IF(AQ179="7",BH179,0)</f>
        <v>0</v>
      </c>
      <c r="AE179" s="31">
        <f>IF(AQ179="7",BI179,0)</f>
        <v>0</v>
      </c>
      <c r="AF179" s="31">
        <f>IF(AQ179="2",BH179,0)</f>
        <v>0</v>
      </c>
      <c r="AG179" s="31">
        <f>IF(AQ179="2",BI179,0)</f>
        <v>0</v>
      </c>
      <c r="AH179" s="31">
        <f>IF(AQ179="0",BJ179,0)</f>
        <v>0</v>
      </c>
      <c r="AI179" s="12" t="s">
        <v>49</v>
      </c>
      <c r="AJ179" s="31">
        <f>IF(AN179=0,L179,0)</f>
        <v>0</v>
      </c>
      <c r="AK179" s="31">
        <f>IF(AN179=12,L179,0)</f>
        <v>0</v>
      </c>
      <c r="AL179" s="31">
        <f>IF(AN179=21,L179,0)</f>
        <v>0</v>
      </c>
      <c r="AN179" s="31">
        <v>21</v>
      </c>
      <c r="AO179" s="31">
        <f>H179*0.306959153</f>
        <v>0</v>
      </c>
      <c r="AP179" s="31">
        <f>H179*(1-0.306959153)</f>
        <v>0</v>
      </c>
      <c r="AQ179" s="32" t="s">
        <v>52</v>
      </c>
      <c r="AV179" s="31">
        <f>AW179+AX179</f>
        <v>0</v>
      </c>
      <c r="AW179" s="31">
        <f>G179*AO179</f>
        <v>0</v>
      </c>
      <c r="AX179" s="31">
        <f>G179*AP179</f>
        <v>0</v>
      </c>
      <c r="AY179" s="32" t="s">
        <v>434</v>
      </c>
      <c r="AZ179" s="32" t="s">
        <v>347</v>
      </c>
      <c r="BA179" s="12" t="s">
        <v>60</v>
      </c>
      <c r="BC179" s="31">
        <f>AW179+AX179</f>
        <v>0</v>
      </c>
      <c r="BD179" s="31">
        <f>H179/(100-BE179)*100</f>
        <v>0</v>
      </c>
      <c r="BE179" s="31">
        <v>0</v>
      </c>
      <c r="BF179" s="31">
        <f>O179</f>
        <v>0.12144000000000001</v>
      </c>
      <c r="BH179" s="31">
        <f>G179*AO179</f>
        <v>0</v>
      </c>
      <c r="BI179" s="31">
        <f>G179*AP179</f>
        <v>0</v>
      </c>
      <c r="BJ179" s="31">
        <f>G179*H179</f>
        <v>0</v>
      </c>
      <c r="BK179" s="31"/>
      <c r="BL179" s="31">
        <v>64</v>
      </c>
      <c r="BW179" s="31" t="str">
        <f>I179</f>
        <v>21</v>
      </c>
      <c r="BX179" s="4" t="s">
        <v>433</v>
      </c>
    </row>
    <row r="180" spans="1:76" ht="14.35" x14ac:dyDescent="0.5">
      <c r="A180" s="34"/>
      <c r="D180" s="35" t="s">
        <v>70</v>
      </c>
      <c r="E180" s="35" t="s">
        <v>435</v>
      </c>
      <c r="G180" s="36">
        <v>3</v>
      </c>
      <c r="P180" s="37"/>
    </row>
    <row r="181" spans="1:76" ht="14.35" x14ac:dyDescent="0.5">
      <c r="A181" s="2" t="s">
        <v>436</v>
      </c>
      <c r="B181" s="3" t="s">
        <v>49</v>
      </c>
      <c r="C181" s="3" t="s">
        <v>437</v>
      </c>
      <c r="D181" s="72" t="s">
        <v>438</v>
      </c>
      <c r="E181" s="73"/>
      <c r="F181" s="3" t="s">
        <v>179</v>
      </c>
      <c r="G181" s="31">
        <v>1</v>
      </c>
      <c r="H181" s="71"/>
      <c r="I181" s="32" t="s">
        <v>56</v>
      </c>
      <c r="J181" s="31">
        <f>G181*AO181</f>
        <v>0</v>
      </c>
      <c r="K181" s="31">
        <f>G181*AP181</f>
        <v>0</v>
      </c>
      <c r="L181" s="31">
        <f>G181*H181</f>
        <v>0</v>
      </c>
      <c r="M181" s="31">
        <f>L181*(1+BW181/100)</f>
        <v>0</v>
      </c>
      <c r="N181" s="31">
        <v>5.6210000000000003E-2</v>
      </c>
      <c r="O181" s="31">
        <f>G181*N181</f>
        <v>5.6210000000000003E-2</v>
      </c>
      <c r="P181" s="33" t="s">
        <v>57</v>
      </c>
      <c r="Z181" s="31">
        <f>IF(AQ181="5",BJ181,0)</f>
        <v>0</v>
      </c>
      <c r="AB181" s="31">
        <f>IF(AQ181="1",BH181,0)</f>
        <v>0</v>
      </c>
      <c r="AC181" s="31">
        <f>IF(AQ181="1",BI181,0)</f>
        <v>0</v>
      </c>
      <c r="AD181" s="31">
        <f>IF(AQ181="7",BH181,0)</f>
        <v>0</v>
      </c>
      <c r="AE181" s="31">
        <f>IF(AQ181="7",BI181,0)</f>
        <v>0</v>
      </c>
      <c r="AF181" s="31">
        <f>IF(AQ181="2",BH181,0)</f>
        <v>0</v>
      </c>
      <c r="AG181" s="31">
        <f>IF(AQ181="2",BI181,0)</f>
        <v>0</v>
      </c>
      <c r="AH181" s="31">
        <f>IF(AQ181="0",BJ181,0)</f>
        <v>0</v>
      </c>
      <c r="AI181" s="12" t="s">
        <v>49</v>
      </c>
      <c r="AJ181" s="31">
        <f>IF(AN181=0,L181,0)</f>
        <v>0</v>
      </c>
      <c r="AK181" s="31">
        <f>IF(AN181=12,L181,0)</f>
        <v>0</v>
      </c>
      <c r="AL181" s="31">
        <f>IF(AN181=21,L181,0)</f>
        <v>0</v>
      </c>
      <c r="AN181" s="31">
        <v>21</v>
      </c>
      <c r="AO181" s="31">
        <f>H181*0.162907712</f>
        <v>0</v>
      </c>
      <c r="AP181" s="31">
        <f>H181*(1-0.162907712)</f>
        <v>0</v>
      </c>
      <c r="AQ181" s="32" t="s">
        <v>52</v>
      </c>
      <c r="AV181" s="31">
        <f>AW181+AX181</f>
        <v>0</v>
      </c>
      <c r="AW181" s="31">
        <f>G181*AO181</f>
        <v>0</v>
      </c>
      <c r="AX181" s="31">
        <f>G181*AP181</f>
        <v>0</v>
      </c>
      <c r="AY181" s="32" t="s">
        <v>434</v>
      </c>
      <c r="AZ181" s="32" t="s">
        <v>347</v>
      </c>
      <c r="BA181" s="12" t="s">
        <v>60</v>
      </c>
      <c r="BC181" s="31">
        <f>AW181+AX181</f>
        <v>0</v>
      </c>
      <c r="BD181" s="31">
        <f>H181/(100-BE181)*100</f>
        <v>0</v>
      </c>
      <c r="BE181" s="31">
        <v>0</v>
      </c>
      <c r="BF181" s="31">
        <f>O181</f>
        <v>5.6210000000000003E-2</v>
      </c>
      <c r="BH181" s="31">
        <f>G181*AO181</f>
        <v>0</v>
      </c>
      <c r="BI181" s="31">
        <f>G181*AP181</f>
        <v>0</v>
      </c>
      <c r="BJ181" s="31">
        <f>G181*H181</f>
        <v>0</v>
      </c>
      <c r="BK181" s="31"/>
      <c r="BL181" s="31">
        <v>64</v>
      </c>
      <c r="BW181" s="31" t="str">
        <f>I181</f>
        <v>21</v>
      </c>
      <c r="BX181" s="4" t="s">
        <v>438</v>
      </c>
    </row>
    <row r="182" spans="1:76" ht="14.35" x14ac:dyDescent="0.5">
      <c r="A182" s="34"/>
      <c r="D182" s="35" t="s">
        <v>52</v>
      </c>
      <c r="E182" s="35" t="s">
        <v>439</v>
      </c>
      <c r="G182" s="36">
        <v>1</v>
      </c>
      <c r="P182" s="37"/>
    </row>
    <row r="183" spans="1:76" ht="14.35" x14ac:dyDescent="0.5">
      <c r="A183" s="38" t="s">
        <v>49</v>
      </c>
      <c r="B183" s="39" t="s">
        <v>49</v>
      </c>
      <c r="C183" s="39" t="s">
        <v>440</v>
      </c>
      <c r="D183" s="126" t="s">
        <v>441</v>
      </c>
      <c r="E183" s="127"/>
      <c r="F183" s="40" t="s">
        <v>3</v>
      </c>
      <c r="G183" s="40" t="s">
        <v>3</v>
      </c>
      <c r="H183" s="40" t="s">
        <v>3</v>
      </c>
      <c r="I183" s="40" t="s">
        <v>3</v>
      </c>
      <c r="J183" s="1">
        <f>SUM(J184:J191)</f>
        <v>0</v>
      </c>
      <c r="K183" s="1">
        <f>SUM(K184:K191)</f>
        <v>0</v>
      </c>
      <c r="L183" s="1">
        <f>SUM(L184:L191)</f>
        <v>0</v>
      </c>
      <c r="M183" s="1">
        <f>SUM(M184:M191)</f>
        <v>0</v>
      </c>
      <c r="N183" s="12" t="s">
        <v>49</v>
      </c>
      <c r="O183" s="1">
        <f>SUM(O184:O191)</f>
        <v>3.2565624</v>
      </c>
      <c r="P183" s="41" t="s">
        <v>49</v>
      </c>
      <c r="AI183" s="12" t="s">
        <v>49</v>
      </c>
      <c r="AS183" s="1">
        <f>SUM(AJ184:AJ191)</f>
        <v>0</v>
      </c>
      <c r="AT183" s="1">
        <f>SUM(AK184:AK191)</f>
        <v>0</v>
      </c>
      <c r="AU183" s="1">
        <f>SUM(AL184:AL191)</f>
        <v>0</v>
      </c>
    </row>
    <row r="184" spans="1:76" ht="14.35" x14ac:dyDescent="0.5">
      <c r="A184" s="2" t="s">
        <v>442</v>
      </c>
      <c r="B184" s="3" t="s">
        <v>49</v>
      </c>
      <c r="C184" s="3" t="s">
        <v>443</v>
      </c>
      <c r="D184" s="72" t="s">
        <v>444</v>
      </c>
      <c r="E184" s="73"/>
      <c r="F184" s="3" t="s">
        <v>125</v>
      </c>
      <c r="G184" s="31">
        <v>795.84</v>
      </c>
      <c r="H184" s="71"/>
      <c r="I184" s="32" t="s">
        <v>56</v>
      </c>
      <c r="J184" s="31">
        <f>G184*AO184</f>
        <v>0</v>
      </c>
      <c r="K184" s="31">
        <f>G184*AP184</f>
        <v>0</v>
      </c>
      <c r="L184" s="31">
        <f>G184*H184</f>
        <v>0</v>
      </c>
      <c r="M184" s="31">
        <f>L184*(1+BW184/100)</f>
        <v>0</v>
      </c>
      <c r="N184" s="31">
        <v>0</v>
      </c>
      <c r="O184" s="31">
        <f>G184*N184</f>
        <v>0</v>
      </c>
      <c r="P184" s="33" t="s">
        <v>57</v>
      </c>
      <c r="Z184" s="31">
        <f>IF(AQ184="5",BJ184,0)</f>
        <v>0</v>
      </c>
      <c r="AB184" s="31">
        <f>IF(AQ184="1",BH184,0)</f>
        <v>0</v>
      </c>
      <c r="AC184" s="31">
        <f>IF(AQ184="1",BI184,0)</f>
        <v>0</v>
      </c>
      <c r="AD184" s="31">
        <f>IF(AQ184="7",BH184,0)</f>
        <v>0</v>
      </c>
      <c r="AE184" s="31">
        <f>IF(AQ184="7",BI184,0)</f>
        <v>0</v>
      </c>
      <c r="AF184" s="31">
        <f>IF(AQ184="2",BH184,0)</f>
        <v>0</v>
      </c>
      <c r="AG184" s="31">
        <f>IF(AQ184="2",BI184,0)</f>
        <v>0</v>
      </c>
      <c r="AH184" s="31">
        <f>IF(AQ184="0",BJ184,0)</f>
        <v>0</v>
      </c>
      <c r="AI184" s="12" t="s">
        <v>49</v>
      </c>
      <c r="AJ184" s="31">
        <f>IF(AN184=0,L184,0)</f>
        <v>0</v>
      </c>
      <c r="AK184" s="31">
        <f>IF(AN184=12,L184,0)</f>
        <v>0</v>
      </c>
      <c r="AL184" s="31">
        <f>IF(AN184=21,L184,0)</f>
        <v>0</v>
      </c>
      <c r="AN184" s="31">
        <v>21</v>
      </c>
      <c r="AO184" s="31">
        <f>H184*0</f>
        <v>0</v>
      </c>
      <c r="AP184" s="31">
        <f>H184*(1-0)</f>
        <v>0</v>
      </c>
      <c r="AQ184" s="32" t="s">
        <v>91</v>
      </c>
      <c r="AV184" s="31">
        <f>AW184+AX184</f>
        <v>0</v>
      </c>
      <c r="AW184" s="31">
        <f>G184*AO184</f>
        <v>0</v>
      </c>
      <c r="AX184" s="31">
        <f>G184*AP184</f>
        <v>0</v>
      </c>
      <c r="AY184" s="32" t="s">
        <v>445</v>
      </c>
      <c r="AZ184" s="32" t="s">
        <v>446</v>
      </c>
      <c r="BA184" s="12" t="s">
        <v>60</v>
      </c>
      <c r="BC184" s="31">
        <f>AW184+AX184</f>
        <v>0</v>
      </c>
      <c r="BD184" s="31">
        <f>H184/(100-BE184)*100</f>
        <v>0</v>
      </c>
      <c r="BE184" s="31">
        <v>0</v>
      </c>
      <c r="BF184" s="31">
        <f>O184</f>
        <v>0</v>
      </c>
      <c r="BH184" s="31">
        <f>G184*AO184</f>
        <v>0</v>
      </c>
      <c r="BI184" s="31">
        <f>G184*AP184</f>
        <v>0</v>
      </c>
      <c r="BJ184" s="31">
        <f>G184*H184</f>
        <v>0</v>
      </c>
      <c r="BK184" s="31"/>
      <c r="BL184" s="31">
        <v>713</v>
      </c>
      <c r="BW184" s="31" t="str">
        <f>I184</f>
        <v>21</v>
      </c>
      <c r="BX184" s="4" t="s">
        <v>444</v>
      </c>
    </row>
    <row r="185" spans="1:76" ht="14.35" x14ac:dyDescent="0.5">
      <c r="A185" s="34"/>
      <c r="D185" s="35" t="s">
        <v>348</v>
      </c>
      <c r="E185" s="35" t="s">
        <v>349</v>
      </c>
      <c r="G185" s="36">
        <v>475.5</v>
      </c>
      <c r="P185" s="37"/>
    </row>
    <row r="186" spans="1:76" ht="14.35" x14ac:dyDescent="0.5">
      <c r="A186" s="34"/>
      <c r="D186" s="35" t="s">
        <v>350</v>
      </c>
      <c r="E186" s="35" t="s">
        <v>351</v>
      </c>
      <c r="G186" s="36">
        <v>231.43</v>
      </c>
      <c r="P186" s="37"/>
    </row>
    <row r="187" spans="1:76" ht="14.35" x14ac:dyDescent="0.5">
      <c r="A187" s="34"/>
      <c r="D187" s="35" t="s">
        <v>352</v>
      </c>
      <c r="E187" s="35" t="s">
        <v>353</v>
      </c>
      <c r="G187" s="36">
        <v>88.91</v>
      </c>
      <c r="P187" s="37"/>
    </row>
    <row r="188" spans="1:76" ht="14.35" x14ac:dyDescent="0.5">
      <c r="A188" s="2" t="s">
        <v>447</v>
      </c>
      <c r="B188" s="3" t="s">
        <v>49</v>
      </c>
      <c r="C188" s="3" t="s">
        <v>448</v>
      </c>
      <c r="D188" s="72" t="s">
        <v>449</v>
      </c>
      <c r="E188" s="73"/>
      <c r="F188" s="3" t="s">
        <v>125</v>
      </c>
      <c r="G188" s="31">
        <v>875.42</v>
      </c>
      <c r="H188" s="71"/>
      <c r="I188" s="32" t="s">
        <v>56</v>
      </c>
      <c r="J188" s="31">
        <f>G188*AO188</f>
        <v>0</v>
      </c>
      <c r="K188" s="31">
        <f>G188*AP188</f>
        <v>0</v>
      </c>
      <c r="L188" s="31">
        <f>G188*H188</f>
        <v>0</v>
      </c>
      <c r="M188" s="31">
        <f>L188*(1+BW188/100)</f>
        <v>0</v>
      </c>
      <c r="N188" s="31">
        <v>3.7200000000000002E-3</v>
      </c>
      <c r="O188" s="31">
        <f>G188*N188</f>
        <v>3.2565624</v>
      </c>
      <c r="P188" s="33" t="s">
        <v>57</v>
      </c>
      <c r="Z188" s="31">
        <f>IF(AQ188="5",BJ188,0)</f>
        <v>0</v>
      </c>
      <c r="AB188" s="31">
        <f>IF(AQ188="1",BH188,0)</f>
        <v>0</v>
      </c>
      <c r="AC188" s="31">
        <f>IF(AQ188="1",BI188,0)</f>
        <v>0</v>
      </c>
      <c r="AD188" s="31">
        <f>IF(AQ188="7",BH188,0)</f>
        <v>0</v>
      </c>
      <c r="AE188" s="31">
        <f>IF(AQ188="7",BI188,0)</f>
        <v>0</v>
      </c>
      <c r="AF188" s="31">
        <f>IF(AQ188="2",BH188,0)</f>
        <v>0</v>
      </c>
      <c r="AG188" s="31">
        <f>IF(AQ188="2",BI188,0)</f>
        <v>0</v>
      </c>
      <c r="AH188" s="31">
        <f>IF(AQ188="0",BJ188,0)</f>
        <v>0</v>
      </c>
      <c r="AI188" s="12" t="s">
        <v>49</v>
      </c>
      <c r="AJ188" s="31">
        <f>IF(AN188=0,L188,0)</f>
        <v>0</v>
      </c>
      <c r="AK188" s="31">
        <f>IF(AN188=12,L188,0)</f>
        <v>0</v>
      </c>
      <c r="AL188" s="31">
        <f>IF(AN188=21,L188,0)</f>
        <v>0</v>
      </c>
      <c r="AN188" s="31">
        <v>21</v>
      </c>
      <c r="AO188" s="31">
        <f>H188*1</f>
        <v>0</v>
      </c>
      <c r="AP188" s="31">
        <f>H188*(1-1)</f>
        <v>0</v>
      </c>
      <c r="AQ188" s="32" t="s">
        <v>91</v>
      </c>
      <c r="AV188" s="31">
        <f>AW188+AX188</f>
        <v>0</v>
      </c>
      <c r="AW188" s="31">
        <f>G188*AO188</f>
        <v>0</v>
      </c>
      <c r="AX188" s="31">
        <f>G188*AP188</f>
        <v>0</v>
      </c>
      <c r="AY188" s="32" t="s">
        <v>445</v>
      </c>
      <c r="AZ188" s="32" t="s">
        <v>446</v>
      </c>
      <c r="BA188" s="12" t="s">
        <v>60</v>
      </c>
      <c r="BC188" s="31">
        <f>AW188+AX188</f>
        <v>0</v>
      </c>
      <c r="BD188" s="31">
        <f>H188/(100-BE188)*100</f>
        <v>0</v>
      </c>
      <c r="BE188" s="31">
        <v>0</v>
      </c>
      <c r="BF188" s="31">
        <f>O188</f>
        <v>3.2565624</v>
      </c>
      <c r="BH188" s="31">
        <f>G188*AO188</f>
        <v>0</v>
      </c>
      <c r="BI188" s="31">
        <f>G188*AP188</f>
        <v>0</v>
      </c>
      <c r="BJ188" s="31">
        <f>G188*H188</f>
        <v>0</v>
      </c>
      <c r="BK188" s="31"/>
      <c r="BL188" s="31">
        <v>713</v>
      </c>
      <c r="BW188" s="31" t="str">
        <f>I188</f>
        <v>21</v>
      </c>
      <c r="BX188" s="4" t="s">
        <v>449</v>
      </c>
    </row>
    <row r="189" spans="1:76" ht="14.35" x14ac:dyDescent="0.5">
      <c r="A189" s="34"/>
      <c r="D189" s="35" t="s">
        <v>450</v>
      </c>
      <c r="E189" s="35" t="s">
        <v>49</v>
      </c>
      <c r="G189" s="36">
        <v>795.84</v>
      </c>
      <c r="P189" s="37"/>
    </row>
    <row r="190" spans="1:76" ht="14.35" x14ac:dyDescent="0.5">
      <c r="A190" s="34"/>
      <c r="D190" s="35" t="s">
        <v>451</v>
      </c>
      <c r="E190" s="35" t="s">
        <v>49</v>
      </c>
      <c r="G190" s="36">
        <v>79.58</v>
      </c>
      <c r="P190" s="37"/>
    </row>
    <row r="191" spans="1:76" ht="14.35" x14ac:dyDescent="0.5">
      <c r="A191" s="2" t="s">
        <v>452</v>
      </c>
      <c r="B191" s="3" t="s">
        <v>49</v>
      </c>
      <c r="C191" s="3" t="s">
        <v>453</v>
      </c>
      <c r="D191" s="72" t="s">
        <v>454</v>
      </c>
      <c r="E191" s="73"/>
      <c r="F191" s="3" t="s">
        <v>290</v>
      </c>
      <c r="G191" s="31">
        <v>3.26</v>
      </c>
      <c r="H191" s="71"/>
      <c r="I191" s="32" t="s">
        <v>56</v>
      </c>
      <c r="J191" s="31">
        <f>G191*AO191</f>
        <v>0</v>
      </c>
      <c r="K191" s="31">
        <f>G191*AP191</f>
        <v>0</v>
      </c>
      <c r="L191" s="31">
        <f>G191*H191</f>
        <v>0</v>
      </c>
      <c r="M191" s="31">
        <f>L191*(1+BW191/100)</f>
        <v>0</v>
      </c>
      <c r="N191" s="31">
        <v>0</v>
      </c>
      <c r="O191" s="31">
        <f>G191*N191</f>
        <v>0</v>
      </c>
      <c r="P191" s="33" t="s">
        <v>57</v>
      </c>
      <c r="Z191" s="31">
        <f>IF(AQ191="5",BJ191,0)</f>
        <v>0</v>
      </c>
      <c r="AB191" s="31">
        <f>IF(AQ191="1",BH191,0)</f>
        <v>0</v>
      </c>
      <c r="AC191" s="31">
        <f>IF(AQ191="1",BI191,0)</f>
        <v>0</v>
      </c>
      <c r="AD191" s="31">
        <f>IF(AQ191="7",BH191,0)</f>
        <v>0</v>
      </c>
      <c r="AE191" s="31">
        <f>IF(AQ191="7",BI191,0)</f>
        <v>0</v>
      </c>
      <c r="AF191" s="31">
        <f>IF(AQ191="2",BH191,0)</f>
        <v>0</v>
      </c>
      <c r="AG191" s="31">
        <f>IF(AQ191="2",BI191,0)</f>
        <v>0</v>
      </c>
      <c r="AH191" s="31">
        <f>IF(AQ191="0",BJ191,0)</f>
        <v>0</v>
      </c>
      <c r="AI191" s="12" t="s">
        <v>49</v>
      </c>
      <c r="AJ191" s="31">
        <f>IF(AN191=0,L191,0)</f>
        <v>0</v>
      </c>
      <c r="AK191" s="31">
        <f>IF(AN191=12,L191,0)</f>
        <v>0</v>
      </c>
      <c r="AL191" s="31">
        <f>IF(AN191=21,L191,0)</f>
        <v>0</v>
      </c>
      <c r="AN191" s="31">
        <v>21</v>
      </c>
      <c r="AO191" s="31">
        <f>H191*0</f>
        <v>0</v>
      </c>
      <c r="AP191" s="31">
        <f>H191*(1-0)</f>
        <v>0</v>
      </c>
      <c r="AQ191" s="32" t="s">
        <v>81</v>
      </c>
      <c r="AV191" s="31">
        <f>AW191+AX191</f>
        <v>0</v>
      </c>
      <c r="AW191" s="31">
        <f>G191*AO191</f>
        <v>0</v>
      </c>
      <c r="AX191" s="31">
        <f>G191*AP191</f>
        <v>0</v>
      </c>
      <c r="AY191" s="32" t="s">
        <v>445</v>
      </c>
      <c r="AZ191" s="32" t="s">
        <v>446</v>
      </c>
      <c r="BA191" s="12" t="s">
        <v>60</v>
      </c>
      <c r="BC191" s="31">
        <f>AW191+AX191</f>
        <v>0</v>
      </c>
      <c r="BD191" s="31">
        <f>H191/(100-BE191)*100</f>
        <v>0</v>
      </c>
      <c r="BE191" s="31">
        <v>0</v>
      </c>
      <c r="BF191" s="31">
        <f>O191</f>
        <v>0</v>
      </c>
      <c r="BH191" s="31">
        <f>G191*AO191</f>
        <v>0</v>
      </c>
      <c r="BI191" s="31">
        <f>G191*AP191</f>
        <v>0</v>
      </c>
      <c r="BJ191" s="31">
        <f>G191*H191</f>
        <v>0</v>
      </c>
      <c r="BK191" s="31"/>
      <c r="BL191" s="31">
        <v>713</v>
      </c>
      <c r="BW191" s="31" t="str">
        <f>I191</f>
        <v>21</v>
      </c>
      <c r="BX191" s="4" t="s">
        <v>454</v>
      </c>
    </row>
    <row r="192" spans="1:76" ht="14.35" x14ac:dyDescent="0.5">
      <c r="A192" s="38" t="s">
        <v>49</v>
      </c>
      <c r="B192" s="39" t="s">
        <v>49</v>
      </c>
      <c r="C192" s="39" t="s">
        <v>455</v>
      </c>
      <c r="D192" s="126" t="s">
        <v>456</v>
      </c>
      <c r="E192" s="127"/>
      <c r="F192" s="40" t="s">
        <v>3</v>
      </c>
      <c r="G192" s="40" t="s">
        <v>3</v>
      </c>
      <c r="H192" s="40" t="s">
        <v>3</v>
      </c>
      <c r="I192" s="40" t="s">
        <v>3</v>
      </c>
      <c r="J192" s="1">
        <f>SUM(J193:J385)</f>
        <v>0</v>
      </c>
      <c r="K192" s="1">
        <f>SUM(K193:K385)</f>
        <v>0</v>
      </c>
      <c r="L192" s="1">
        <f>SUM(L193:L385)</f>
        <v>0</v>
      </c>
      <c r="M192" s="1">
        <f>SUM(M193:M385)</f>
        <v>0</v>
      </c>
      <c r="N192" s="12" t="s">
        <v>49</v>
      </c>
      <c r="O192" s="1">
        <f>SUM(O193:O385)</f>
        <v>161.78414979999997</v>
      </c>
      <c r="P192" s="41" t="s">
        <v>49</v>
      </c>
      <c r="AI192" s="12" t="s">
        <v>49</v>
      </c>
      <c r="AS192" s="1">
        <f>SUM(AJ193:AJ385)</f>
        <v>0</v>
      </c>
      <c r="AT192" s="1">
        <f>SUM(AK193:AK385)</f>
        <v>0</v>
      </c>
      <c r="AU192" s="1">
        <f>SUM(AL193:AL385)</f>
        <v>0</v>
      </c>
    </row>
    <row r="193" spans="1:76" ht="14.35" x14ac:dyDescent="0.5">
      <c r="A193" s="2" t="s">
        <v>457</v>
      </c>
      <c r="B193" s="3" t="s">
        <v>49</v>
      </c>
      <c r="C193" s="3" t="s">
        <v>458</v>
      </c>
      <c r="D193" s="72" t="s">
        <v>459</v>
      </c>
      <c r="E193" s="73"/>
      <c r="F193" s="3" t="s">
        <v>179</v>
      </c>
      <c r="G193" s="31">
        <v>1053</v>
      </c>
      <c r="H193" s="71"/>
      <c r="I193" s="32" t="s">
        <v>56</v>
      </c>
      <c r="J193" s="31">
        <f>G193*AO193</f>
        <v>0</v>
      </c>
      <c r="K193" s="31">
        <f>G193*AP193</f>
        <v>0</v>
      </c>
      <c r="L193" s="31">
        <f>G193*H193</f>
        <v>0</v>
      </c>
      <c r="M193" s="31">
        <f>L193*(1+BW193/100)</f>
        <v>0</v>
      </c>
      <c r="N193" s="31">
        <v>0</v>
      </c>
      <c r="O193" s="31">
        <f>G193*N193</f>
        <v>0</v>
      </c>
      <c r="P193" s="33" t="s">
        <v>57</v>
      </c>
      <c r="Z193" s="31">
        <f>IF(AQ193="5",BJ193,0)</f>
        <v>0</v>
      </c>
      <c r="AB193" s="31">
        <f>IF(AQ193="1",BH193,0)</f>
        <v>0</v>
      </c>
      <c r="AC193" s="31">
        <f>IF(AQ193="1",BI193,0)</f>
        <v>0</v>
      </c>
      <c r="AD193" s="31">
        <f>IF(AQ193="7",BH193,0)</f>
        <v>0</v>
      </c>
      <c r="AE193" s="31">
        <f>IF(AQ193="7",BI193,0)</f>
        <v>0</v>
      </c>
      <c r="AF193" s="31">
        <f>IF(AQ193="2",BH193,0)</f>
        <v>0</v>
      </c>
      <c r="AG193" s="31">
        <f>IF(AQ193="2",BI193,0)</f>
        <v>0</v>
      </c>
      <c r="AH193" s="31">
        <f>IF(AQ193="0",BJ193,0)</f>
        <v>0</v>
      </c>
      <c r="AI193" s="12" t="s">
        <v>49</v>
      </c>
      <c r="AJ193" s="31">
        <f>IF(AN193=0,L193,0)</f>
        <v>0</v>
      </c>
      <c r="AK193" s="31">
        <f>IF(AN193=12,L193,0)</f>
        <v>0</v>
      </c>
      <c r="AL193" s="31">
        <f>IF(AN193=21,L193,0)</f>
        <v>0</v>
      </c>
      <c r="AN193" s="31">
        <v>21</v>
      </c>
      <c r="AO193" s="31">
        <f>H193*0</f>
        <v>0</v>
      </c>
      <c r="AP193" s="31">
        <f>H193*(1-0)</f>
        <v>0</v>
      </c>
      <c r="AQ193" s="32" t="s">
        <v>91</v>
      </c>
      <c r="AV193" s="31">
        <f>AW193+AX193</f>
        <v>0</v>
      </c>
      <c r="AW193" s="31">
        <f>G193*AO193</f>
        <v>0</v>
      </c>
      <c r="AX193" s="31">
        <f>G193*AP193</f>
        <v>0</v>
      </c>
      <c r="AY193" s="32" t="s">
        <v>460</v>
      </c>
      <c r="AZ193" s="32" t="s">
        <v>461</v>
      </c>
      <c r="BA193" s="12" t="s">
        <v>60</v>
      </c>
      <c r="BC193" s="31">
        <f>AW193+AX193</f>
        <v>0</v>
      </c>
      <c r="BD193" s="31">
        <f>H193/(100-BE193)*100</f>
        <v>0</v>
      </c>
      <c r="BE193" s="31">
        <v>0</v>
      </c>
      <c r="BF193" s="31">
        <f>O193</f>
        <v>0</v>
      </c>
      <c r="BH193" s="31">
        <f>G193*AO193</f>
        <v>0</v>
      </c>
      <c r="BI193" s="31">
        <f>G193*AP193</f>
        <v>0</v>
      </c>
      <c r="BJ193" s="31">
        <f>G193*H193</f>
        <v>0</v>
      </c>
      <c r="BK193" s="31"/>
      <c r="BL193" s="31">
        <v>762</v>
      </c>
      <c r="BW193" s="31" t="str">
        <f>I193</f>
        <v>21</v>
      </c>
      <c r="BX193" s="4" t="s">
        <v>459</v>
      </c>
    </row>
    <row r="194" spans="1:76" ht="14.35" x14ac:dyDescent="0.5">
      <c r="A194" s="34"/>
      <c r="D194" s="35" t="s">
        <v>462</v>
      </c>
      <c r="E194" s="35" t="s">
        <v>1393</v>
      </c>
      <c r="G194" s="36">
        <v>125</v>
      </c>
      <c r="P194" s="37"/>
    </row>
    <row r="195" spans="1:76" ht="14.35" x14ac:dyDescent="0.5">
      <c r="A195" s="34"/>
      <c r="D195" s="35" t="s">
        <v>463</v>
      </c>
      <c r="E195" s="35" t="s">
        <v>464</v>
      </c>
      <c r="G195" s="36">
        <v>180</v>
      </c>
      <c r="P195" s="37"/>
    </row>
    <row r="196" spans="1:76" ht="14.35" x14ac:dyDescent="0.5">
      <c r="A196" s="34"/>
      <c r="D196" s="35" t="s">
        <v>465</v>
      </c>
      <c r="E196" s="35" t="s">
        <v>466</v>
      </c>
      <c r="G196" s="36">
        <v>200</v>
      </c>
      <c r="P196" s="37"/>
    </row>
    <row r="197" spans="1:76" ht="14.35" x14ac:dyDescent="0.5">
      <c r="A197" s="34"/>
      <c r="D197" s="35" t="s">
        <v>467</v>
      </c>
      <c r="E197" s="35" t="s">
        <v>468</v>
      </c>
      <c r="G197" s="36">
        <v>4</v>
      </c>
      <c r="P197" s="37"/>
    </row>
    <row r="198" spans="1:76" ht="14.35" x14ac:dyDescent="0.5">
      <c r="A198" s="34"/>
      <c r="D198" s="35" t="s">
        <v>469</v>
      </c>
      <c r="E198" s="35" t="s">
        <v>470</v>
      </c>
      <c r="G198" s="36">
        <v>364</v>
      </c>
      <c r="P198" s="37"/>
    </row>
    <row r="199" spans="1:76" ht="14.35" x14ac:dyDescent="0.5">
      <c r="A199" s="34"/>
      <c r="D199" s="35" t="s">
        <v>471</v>
      </c>
      <c r="E199" s="35" t="s">
        <v>472</v>
      </c>
      <c r="G199" s="36">
        <v>180</v>
      </c>
      <c r="P199" s="37"/>
    </row>
    <row r="200" spans="1:76" ht="14.35" x14ac:dyDescent="0.5">
      <c r="A200" s="2" t="s">
        <v>473</v>
      </c>
      <c r="B200" s="3" t="s">
        <v>49</v>
      </c>
      <c r="C200" s="3" t="s">
        <v>474</v>
      </c>
      <c r="D200" s="72" t="s">
        <v>475</v>
      </c>
      <c r="E200" s="73"/>
      <c r="F200" s="3" t="s">
        <v>150</v>
      </c>
      <c r="G200" s="31">
        <v>536.41</v>
      </c>
      <c r="H200" s="71"/>
      <c r="I200" s="32" t="s">
        <v>56</v>
      </c>
      <c r="J200" s="31">
        <f>G200*AO200</f>
        <v>0</v>
      </c>
      <c r="K200" s="31">
        <f>G200*AP200</f>
        <v>0</v>
      </c>
      <c r="L200" s="31">
        <f>G200*H200</f>
        <v>0</v>
      </c>
      <c r="M200" s="31">
        <f>L200*(1+BW200/100)</f>
        <v>0</v>
      </c>
      <c r="N200" s="31">
        <v>0</v>
      </c>
      <c r="O200" s="31">
        <f>G200*N200</f>
        <v>0</v>
      </c>
      <c r="P200" s="33" t="s">
        <v>57</v>
      </c>
      <c r="Z200" s="31">
        <f>IF(AQ200="5",BJ200,0)</f>
        <v>0</v>
      </c>
      <c r="AB200" s="31">
        <f>IF(AQ200="1",BH200,0)</f>
        <v>0</v>
      </c>
      <c r="AC200" s="31">
        <f>IF(AQ200="1",BI200,0)</f>
        <v>0</v>
      </c>
      <c r="AD200" s="31">
        <f>IF(AQ200="7",BH200,0)</f>
        <v>0</v>
      </c>
      <c r="AE200" s="31">
        <f>IF(AQ200="7",BI200,0)</f>
        <v>0</v>
      </c>
      <c r="AF200" s="31">
        <f>IF(AQ200="2",BH200,0)</f>
        <v>0</v>
      </c>
      <c r="AG200" s="31">
        <f>IF(AQ200="2",BI200,0)</f>
        <v>0</v>
      </c>
      <c r="AH200" s="31">
        <f>IF(AQ200="0",BJ200,0)</f>
        <v>0</v>
      </c>
      <c r="AI200" s="12" t="s">
        <v>49</v>
      </c>
      <c r="AJ200" s="31">
        <f>IF(AN200=0,L200,0)</f>
        <v>0</v>
      </c>
      <c r="AK200" s="31">
        <f>IF(AN200=12,L200,0)</f>
        <v>0</v>
      </c>
      <c r="AL200" s="31">
        <f>IF(AN200=21,L200,0)</f>
        <v>0</v>
      </c>
      <c r="AN200" s="31">
        <v>21</v>
      </c>
      <c r="AO200" s="31">
        <f>H200*0</f>
        <v>0</v>
      </c>
      <c r="AP200" s="31">
        <f>H200*(1-0)</f>
        <v>0</v>
      </c>
      <c r="AQ200" s="32" t="s">
        <v>91</v>
      </c>
      <c r="AV200" s="31">
        <f>AW200+AX200</f>
        <v>0</v>
      </c>
      <c r="AW200" s="31">
        <f>G200*AO200</f>
        <v>0</v>
      </c>
      <c r="AX200" s="31">
        <f>G200*AP200</f>
        <v>0</v>
      </c>
      <c r="AY200" s="32" t="s">
        <v>460</v>
      </c>
      <c r="AZ200" s="32" t="s">
        <v>461</v>
      </c>
      <c r="BA200" s="12" t="s">
        <v>60</v>
      </c>
      <c r="BC200" s="31">
        <f>AW200+AX200</f>
        <v>0</v>
      </c>
      <c r="BD200" s="31">
        <f>H200/(100-BE200)*100</f>
        <v>0</v>
      </c>
      <c r="BE200" s="31">
        <v>0</v>
      </c>
      <c r="BF200" s="31">
        <f>O200</f>
        <v>0</v>
      </c>
      <c r="BH200" s="31">
        <f>G200*AO200</f>
        <v>0</v>
      </c>
      <c r="BI200" s="31">
        <f>G200*AP200</f>
        <v>0</v>
      </c>
      <c r="BJ200" s="31">
        <f>G200*H200</f>
        <v>0</v>
      </c>
      <c r="BK200" s="31"/>
      <c r="BL200" s="31">
        <v>762</v>
      </c>
      <c r="BW200" s="31" t="str">
        <f>I200</f>
        <v>21</v>
      </c>
      <c r="BX200" s="4" t="s">
        <v>475</v>
      </c>
    </row>
    <row r="201" spans="1:76" ht="14.35" x14ac:dyDescent="0.5">
      <c r="A201" s="34"/>
      <c r="D201" s="35" t="s">
        <v>476</v>
      </c>
      <c r="E201" s="35" t="s">
        <v>49</v>
      </c>
      <c r="G201" s="36">
        <v>536.41</v>
      </c>
      <c r="P201" s="37"/>
    </row>
    <row r="202" spans="1:76" ht="14.35" x14ac:dyDescent="0.5">
      <c r="A202" s="2" t="s">
        <v>477</v>
      </c>
      <c r="B202" s="3" t="s">
        <v>49</v>
      </c>
      <c r="C202" s="3" t="s">
        <v>478</v>
      </c>
      <c r="D202" s="72" t="s">
        <v>479</v>
      </c>
      <c r="E202" s="73"/>
      <c r="F202" s="3" t="s">
        <v>125</v>
      </c>
      <c r="G202" s="31">
        <v>851.14</v>
      </c>
      <c r="H202" s="71"/>
      <c r="I202" s="32" t="s">
        <v>56</v>
      </c>
      <c r="J202" s="31">
        <f>G202*AO202</f>
        <v>0</v>
      </c>
      <c r="K202" s="31">
        <f>G202*AP202</f>
        <v>0</v>
      </c>
      <c r="L202" s="31">
        <f>G202*H202</f>
        <v>0</v>
      </c>
      <c r="M202" s="31">
        <f>L202*(1+BW202/100)</f>
        <v>0</v>
      </c>
      <c r="N202" s="31">
        <v>0</v>
      </c>
      <c r="O202" s="31">
        <f>G202*N202</f>
        <v>0</v>
      </c>
      <c r="P202" s="33" t="s">
        <v>57</v>
      </c>
      <c r="Z202" s="31">
        <f>IF(AQ202="5",BJ202,0)</f>
        <v>0</v>
      </c>
      <c r="AB202" s="31">
        <f>IF(AQ202="1",BH202,0)</f>
        <v>0</v>
      </c>
      <c r="AC202" s="31">
        <f>IF(AQ202="1",BI202,0)</f>
        <v>0</v>
      </c>
      <c r="AD202" s="31">
        <f>IF(AQ202="7",BH202,0)</f>
        <v>0</v>
      </c>
      <c r="AE202" s="31">
        <f>IF(AQ202="7",BI202,0)</f>
        <v>0</v>
      </c>
      <c r="AF202" s="31">
        <f>IF(AQ202="2",BH202,0)</f>
        <v>0</v>
      </c>
      <c r="AG202" s="31">
        <f>IF(AQ202="2",BI202,0)</f>
        <v>0</v>
      </c>
      <c r="AH202" s="31">
        <f>IF(AQ202="0",BJ202,0)</f>
        <v>0</v>
      </c>
      <c r="AI202" s="12" t="s">
        <v>49</v>
      </c>
      <c r="AJ202" s="31">
        <f>IF(AN202=0,L202,0)</f>
        <v>0</v>
      </c>
      <c r="AK202" s="31">
        <f>IF(AN202=12,L202,0)</f>
        <v>0</v>
      </c>
      <c r="AL202" s="31">
        <f>IF(AN202=21,L202,0)</f>
        <v>0</v>
      </c>
      <c r="AN202" s="31">
        <v>21</v>
      </c>
      <c r="AO202" s="31">
        <f>H202*0</f>
        <v>0</v>
      </c>
      <c r="AP202" s="31">
        <f>H202*(1-0)</f>
        <v>0</v>
      </c>
      <c r="AQ202" s="32" t="s">
        <v>91</v>
      </c>
      <c r="AV202" s="31">
        <f>AW202+AX202</f>
        <v>0</v>
      </c>
      <c r="AW202" s="31">
        <f>G202*AO202</f>
        <v>0</v>
      </c>
      <c r="AX202" s="31">
        <f>G202*AP202</f>
        <v>0</v>
      </c>
      <c r="AY202" s="32" t="s">
        <v>460</v>
      </c>
      <c r="AZ202" s="32" t="s">
        <v>461</v>
      </c>
      <c r="BA202" s="12" t="s">
        <v>60</v>
      </c>
      <c r="BC202" s="31">
        <f>AW202+AX202</f>
        <v>0</v>
      </c>
      <c r="BD202" s="31">
        <f>H202/(100-BE202)*100</f>
        <v>0</v>
      </c>
      <c r="BE202" s="31">
        <v>0</v>
      </c>
      <c r="BF202" s="31">
        <f>O202</f>
        <v>0</v>
      </c>
      <c r="BH202" s="31">
        <f>G202*AO202</f>
        <v>0</v>
      </c>
      <c r="BI202" s="31">
        <f>G202*AP202</f>
        <v>0</v>
      </c>
      <c r="BJ202" s="31">
        <f>G202*H202</f>
        <v>0</v>
      </c>
      <c r="BK202" s="31"/>
      <c r="BL202" s="31">
        <v>762</v>
      </c>
      <c r="BW202" s="31" t="str">
        <f>I202</f>
        <v>21</v>
      </c>
      <c r="BX202" s="4" t="s">
        <v>479</v>
      </c>
    </row>
    <row r="203" spans="1:76" ht="14.35" x14ac:dyDescent="0.5">
      <c r="A203" s="34"/>
      <c r="D203" s="35" t="s">
        <v>480</v>
      </c>
      <c r="E203" s="35" t="s">
        <v>49</v>
      </c>
      <c r="G203" s="36">
        <v>851.14</v>
      </c>
      <c r="P203" s="37"/>
    </row>
    <row r="204" spans="1:76" ht="14.35" x14ac:dyDescent="0.5">
      <c r="A204" s="2" t="s">
        <v>481</v>
      </c>
      <c r="B204" s="3" t="s">
        <v>49</v>
      </c>
      <c r="C204" s="3" t="s">
        <v>482</v>
      </c>
      <c r="D204" s="72" t="s">
        <v>483</v>
      </c>
      <c r="E204" s="73"/>
      <c r="F204" s="3" t="s">
        <v>179</v>
      </c>
      <c r="G204" s="31">
        <v>8</v>
      </c>
      <c r="H204" s="71"/>
      <c r="I204" s="32" t="s">
        <v>56</v>
      </c>
      <c r="J204" s="31">
        <f>G204*AO204</f>
        <v>0</v>
      </c>
      <c r="K204" s="31">
        <f>G204*AP204</f>
        <v>0</v>
      </c>
      <c r="L204" s="31">
        <f>G204*H204</f>
        <v>0</v>
      </c>
      <c r="M204" s="31">
        <f>L204*(1+BW204/100)</f>
        <v>0</v>
      </c>
      <c r="N204" s="31">
        <v>8.4709999999999994E-2</v>
      </c>
      <c r="O204" s="31">
        <f>G204*N204</f>
        <v>0.67767999999999995</v>
      </c>
      <c r="P204" s="33" t="s">
        <v>57</v>
      </c>
      <c r="Z204" s="31">
        <f>IF(AQ204="5",BJ204,0)</f>
        <v>0</v>
      </c>
      <c r="AB204" s="31">
        <f>IF(AQ204="1",BH204,0)</f>
        <v>0</v>
      </c>
      <c r="AC204" s="31">
        <f>IF(AQ204="1",BI204,0)</f>
        <v>0</v>
      </c>
      <c r="AD204" s="31">
        <f>IF(AQ204="7",BH204,0)</f>
        <v>0</v>
      </c>
      <c r="AE204" s="31">
        <f>IF(AQ204="7",BI204,0)</f>
        <v>0</v>
      </c>
      <c r="AF204" s="31">
        <f>IF(AQ204="2",BH204,0)</f>
        <v>0</v>
      </c>
      <c r="AG204" s="31">
        <f>IF(AQ204="2",BI204,0)</f>
        <v>0</v>
      </c>
      <c r="AH204" s="31">
        <f>IF(AQ204="0",BJ204,0)</f>
        <v>0</v>
      </c>
      <c r="AI204" s="12" t="s">
        <v>49</v>
      </c>
      <c r="AJ204" s="31">
        <f>IF(AN204=0,L204,0)</f>
        <v>0</v>
      </c>
      <c r="AK204" s="31">
        <f>IF(AN204=12,L204,0)</f>
        <v>0</v>
      </c>
      <c r="AL204" s="31">
        <f>IF(AN204=21,L204,0)</f>
        <v>0</v>
      </c>
      <c r="AN204" s="31">
        <v>21</v>
      </c>
      <c r="AO204" s="31">
        <f>H204*0.090502197</f>
        <v>0</v>
      </c>
      <c r="AP204" s="31">
        <f>H204*(1-0.090502197)</f>
        <v>0</v>
      </c>
      <c r="AQ204" s="32" t="s">
        <v>91</v>
      </c>
      <c r="AV204" s="31">
        <f>AW204+AX204</f>
        <v>0</v>
      </c>
      <c r="AW204" s="31">
        <f>G204*AO204</f>
        <v>0</v>
      </c>
      <c r="AX204" s="31">
        <f>G204*AP204</f>
        <v>0</v>
      </c>
      <c r="AY204" s="32" t="s">
        <v>460</v>
      </c>
      <c r="AZ204" s="32" t="s">
        <v>461</v>
      </c>
      <c r="BA204" s="12" t="s">
        <v>60</v>
      </c>
      <c r="BC204" s="31">
        <f>AW204+AX204</f>
        <v>0</v>
      </c>
      <c r="BD204" s="31">
        <f>H204/(100-BE204)*100</f>
        <v>0</v>
      </c>
      <c r="BE204" s="31">
        <v>0</v>
      </c>
      <c r="BF204" s="31">
        <f>O204</f>
        <v>0.67767999999999995</v>
      </c>
      <c r="BH204" s="31">
        <f>G204*AO204</f>
        <v>0</v>
      </c>
      <c r="BI204" s="31">
        <f>G204*AP204</f>
        <v>0</v>
      </c>
      <c r="BJ204" s="31">
        <f>G204*H204</f>
        <v>0</v>
      </c>
      <c r="BK204" s="31"/>
      <c r="BL204" s="31">
        <v>762</v>
      </c>
      <c r="BW204" s="31" t="str">
        <f>I204</f>
        <v>21</v>
      </c>
      <c r="BX204" s="4" t="s">
        <v>483</v>
      </c>
    </row>
    <row r="205" spans="1:76" ht="14.35" x14ac:dyDescent="0.5">
      <c r="A205" s="2" t="s">
        <v>484</v>
      </c>
      <c r="B205" s="3" t="s">
        <v>49</v>
      </c>
      <c r="C205" s="3" t="s">
        <v>485</v>
      </c>
      <c r="D205" s="72" t="s">
        <v>486</v>
      </c>
      <c r="E205" s="73"/>
      <c r="F205" s="3" t="s">
        <v>150</v>
      </c>
      <c r="G205" s="31">
        <v>62.5</v>
      </c>
      <c r="H205" s="71"/>
      <c r="I205" s="32" t="s">
        <v>56</v>
      </c>
      <c r="J205" s="31">
        <f>G205*AO205</f>
        <v>0</v>
      </c>
      <c r="K205" s="31">
        <f>G205*AP205</f>
        <v>0</v>
      </c>
      <c r="L205" s="31">
        <f>G205*H205</f>
        <v>0</v>
      </c>
      <c r="M205" s="31">
        <f>L205*(1+BW205/100)</f>
        <v>0</v>
      </c>
      <c r="N205" s="31">
        <v>6.2500000000000003E-3</v>
      </c>
      <c r="O205" s="31">
        <f>G205*N205</f>
        <v>0.390625</v>
      </c>
      <c r="P205" s="33" t="s">
        <v>57</v>
      </c>
      <c r="Z205" s="31">
        <f>IF(AQ205="5",BJ205,0)</f>
        <v>0</v>
      </c>
      <c r="AB205" s="31">
        <f>IF(AQ205="1",BH205,0)</f>
        <v>0</v>
      </c>
      <c r="AC205" s="31">
        <f>IF(AQ205="1",BI205,0)</f>
        <v>0</v>
      </c>
      <c r="AD205" s="31">
        <f>IF(AQ205="7",BH205,0)</f>
        <v>0</v>
      </c>
      <c r="AE205" s="31">
        <f>IF(AQ205="7",BI205,0)</f>
        <v>0</v>
      </c>
      <c r="AF205" s="31">
        <f>IF(AQ205="2",BH205,0)</f>
        <v>0</v>
      </c>
      <c r="AG205" s="31">
        <f>IF(AQ205="2",BI205,0)</f>
        <v>0</v>
      </c>
      <c r="AH205" s="31">
        <f>IF(AQ205="0",BJ205,0)</f>
        <v>0</v>
      </c>
      <c r="AI205" s="12" t="s">
        <v>49</v>
      </c>
      <c r="AJ205" s="31">
        <f>IF(AN205=0,L205,0)</f>
        <v>0</v>
      </c>
      <c r="AK205" s="31">
        <f>IF(AN205=12,L205,0)</f>
        <v>0</v>
      </c>
      <c r="AL205" s="31">
        <f>IF(AN205=21,L205,0)</f>
        <v>0</v>
      </c>
      <c r="AN205" s="31">
        <v>21</v>
      </c>
      <c r="AO205" s="31">
        <f>H205*0.460327273</f>
        <v>0</v>
      </c>
      <c r="AP205" s="31">
        <f>H205*(1-0.460327273)</f>
        <v>0</v>
      </c>
      <c r="AQ205" s="32" t="s">
        <v>91</v>
      </c>
      <c r="AV205" s="31">
        <f>AW205+AX205</f>
        <v>0</v>
      </c>
      <c r="AW205" s="31">
        <f>G205*AO205</f>
        <v>0</v>
      </c>
      <c r="AX205" s="31">
        <f>G205*AP205</f>
        <v>0</v>
      </c>
      <c r="AY205" s="32" t="s">
        <v>460</v>
      </c>
      <c r="AZ205" s="32" t="s">
        <v>461</v>
      </c>
      <c r="BA205" s="12" t="s">
        <v>60</v>
      </c>
      <c r="BC205" s="31">
        <f>AW205+AX205</f>
        <v>0</v>
      </c>
      <c r="BD205" s="31">
        <f>H205/(100-BE205)*100</f>
        <v>0</v>
      </c>
      <c r="BE205" s="31">
        <v>0</v>
      </c>
      <c r="BF205" s="31">
        <f>O205</f>
        <v>0.390625</v>
      </c>
      <c r="BH205" s="31">
        <f>G205*AO205</f>
        <v>0</v>
      </c>
      <c r="BI205" s="31">
        <f>G205*AP205</f>
        <v>0</v>
      </c>
      <c r="BJ205" s="31">
        <f>G205*H205</f>
        <v>0</v>
      </c>
      <c r="BK205" s="31"/>
      <c r="BL205" s="31">
        <v>762</v>
      </c>
      <c r="BW205" s="31" t="str">
        <f>I205</f>
        <v>21</v>
      </c>
      <c r="BX205" s="4" t="s">
        <v>486</v>
      </c>
    </row>
    <row r="206" spans="1:76" ht="14.35" x14ac:dyDescent="0.5">
      <c r="A206" s="34"/>
      <c r="D206" s="35" t="s">
        <v>487</v>
      </c>
      <c r="E206" s="35" t="s">
        <v>488</v>
      </c>
      <c r="G206" s="36">
        <v>62.5</v>
      </c>
      <c r="P206" s="37"/>
    </row>
    <row r="207" spans="1:76" ht="14.35" x14ac:dyDescent="0.5">
      <c r="A207" s="2" t="s">
        <v>489</v>
      </c>
      <c r="B207" s="3" t="s">
        <v>49</v>
      </c>
      <c r="C207" s="3" t="s">
        <v>490</v>
      </c>
      <c r="D207" s="72" t="s">
        <v>491</v>
      </c>
      <c r="E207" s="73"/>
      <c r="F207" s="3" t="s">
        <v>125</v>
      </c>
      <c r="G207" s="31">
        <v>36</v>
      </c>
      <c r="H207" s="71"/>
      <c r="I207" s="32" t="s">
        <v>56</v>
      </c>
      <c r="J207" s="31">
        <f>G207*AO207</f>
        <v>0</v>
      </c>
      <c r="K207" s="31">
        <f>G207*AP207</f>
        <v>0</v>
      </c>
      <c r="L207" s="31">
        <f>G207*H207</f>
        <v>0</v>
      </c>
      <c r="M207" s="31">
        <f>L207*(1+BW207/100)</f>
        <v>0</v>
      </c>
      <c r="N207" s="31">
        <v>1.468E-2</v>
      </c>
      <c r="O207" s="31">
        <f>G207*N207</f>
        <v>0.52848000000000006</v>
      </c>
      <c r="P207" s="33" t="s">
        <v>57</v>
      </c>
      <c r="Z207" s="31">
        <f>IF(AQ207="5",BJ207,0)</f>
        <v>0</v>
      </c>
      <c r="AB207" s="31">
        <f>IF(AQ207="1",BH207,0)</f>
        <v>0</v>
      </c>
      <c r="AC207" s="31">
        <f>IF(AQ207="1",BI207,0)</f>
        <v>0</v>
      </c>
      <c r="AD207" s="31">
        <f>IF(AQ207="7",BH207,0)</f>
        <v>0</v>
      </c>
      <c r="AE207" s="31">
        <f>IF(AQ207="7",BI207,0)</f>
        <v>0</v>
      </c>
      <c r="AF207" s="31">
        <f>IF(AQ207="2",BH207,0)</f>
        <v>0</v>
      </c>
      <c r="AG207" s="31">
        <f>IF(AQ207="2",BI207,0)</f>
        <v>0</v>
      </c>
      <c r="AH207" s="31">
        <f>IF(AQ207="0",BJ207,0)</f>
        <v>0</v>
      </c>
      <c r="AI207" s="12" t="s">
        <v>49</v>
      </c>
      <c r="AJ207" s="31">
        <f>IF(AN207=0,L207,0)</f>
        <v>0</v>
      </c>
      <c r="AK207" s="31">
        <f>IF(AN207=12,L207,0)</f>
        <v>0</v>
      </c>
      <c r="AL207" s="31">
        <f>IF(AN207=21,L207,0)</f>
        <v>0</v>
      </c>
      <c r="AN207" s="31">
        <v>21</v>
      </c>
      <c r="AO207" s="31">
        <f>H207*0.642729124</f>
        <v>0</v>
      </c>
      <c r="AP207" s="31">
        <f>H207*(1-0.642729124)</f>
        <v>0</v>
      </c>
      <c r="AQ207" s="32" t="s">
        <v>91</v>
      </c>
      <c r="AV207" s="31">
        <f>AW207+AX207</f>
        <v>0</v>
      </c>
      <c r="AW207" s="31">
        <f>G207*AO207</f>
        <v>0</v>
      </c>
      <c r="AX207" s="31">
        <f>G207*AP207</f>
        <v>0</v>
      </c>
      <c r="AY207" s="32" t="s">
        <v>460</v>
      </c>
      <c r="AZ207" s="32" t="s">
        <v>461</v>
      </c>
      <c r="BA207" s="12" t="s">
        <v>60</v>
      </c>
      <c r="BC207" s="31">
        <f>AW207+AX207</f>
        <v>0</v>
      </c>
      <c r="BD207" s="31">
        <f>H207/(100-BE207)*100</f>
        <v>0</v>
      </c>
      <c r="BE207" s="31">
        <v>0</v>
      </c>
      <c r="BF207" s="31">
        <f>O207</f>
        <v>0.52848000000000006</v>
      </c>
      <c r="BH207" s="31">
        <f>G207*AO207</f>
        <v>0</v>
      </c>
      <c r="BI207" s="31">
        <f>G207*AP207</f>
        <v>0</v>
      </c>
      <c r="BJ207" s="31">
        <f>G207*H207</f>
        <v>0</v>
      </c>
      <c r="BK207" s="31"/>
      <c r="BL207" s="31">
        <v>762</v>
      </c>
      <c r="BW207" s="31" t="str">
        <f>I207</f>
        <v>21</v>
      </c>
      <c r="BX207" s="4" t="s">
        <v>491</v>
      </c>
    </row>
    <row r="208" spans="1:76" ht="14.35" x14ac:dyDescent="0.5">
      <c r="A208" s="34"/>
      <c r="D208" s="35" t="s">
        <v>492</v>
      </c>
      <c r="E208" s="35" t="s">
        <v>49</v>
      </c>
      <c r="G208" s="36">
        <v>36</v>
      </c>
      <c r="P208" s="37"/>
    </row>
    <row r="209" spans="1:76" ht="14.35" x14ac:dyDescent="0.5">
      <c r="A209" s="2" t="s">
        <v>493</v>
      </c>
      <c r="B209" s="3" t="s">
        <v>49</v>
      </c>
      <c r="C209" s="3" t="s">
        <v>494</v>
      </c>
      <c r="D209" s="72" t="s">
        <v>495</v>
      </c>
      <c r="E209" s="73"/>
      <c r="F209" s="3" t="s">
        <v>125</v>
      </c>
      <c r="G209" s="31">
        <v>47.52</v>
      </c>
      <c r="H209" s="71"/>
      <c r="I209" s="32" t="s">
        <v>56</v>
      </c>
      <c r="J209" s="31">
        <f>G209*AO209</f>
        <v>0</v>
      </c>
      <c r="K209" s="31">
        <f>G209*AP209</f>
        <v>0</v>
      </c>
      <c r="L209" s="31">
        <f>G209*H209</f>
        <v>0</v>
      </c>
      <c r="M209" s="31">
        <f>L209*(1+BW209/100)</f>
        <v>0</v>
      </c>
      <c r="N209" s="31">
        <v>7.7160000000000006E-2</v>
      </c>
      <c r="O209" s="31">
        <f>G209*N209</f>
        <v>3.6666432000000007</v>
      </c>
      <c r="P209" s="33" t="s">
        <v>57</v>
      </c>
      <c r="Z209" s="31">
        <f>IF(AQ209="5",BJ209,0)</f>
        <v>0</v>
      </c>
      <c r="AB209" s="31">
        <f>IF(AQ209="1",BH209,0)</f>
        <v>0</v>
      </c>
      <c r="AC209" s="31">
        <f>IF(AQ209="1",BI209,0)</f>
        <v>0</v>
      </c>
      <c r="AD209" s="31">
        <f>IF(AQ209="7",BH209,0)</f>
        <v>0</v>
      </c>
      <c r="AE209" s="31">
        <f>IF(AQ209="7",BI209,0)</f>
        <v>0</v>
      </c>
      <c r="AF209" s="31">
        <f>IF(AQ209="2",BH209,0)</f>
        <v>0</v>
      </c>
      <c r="AG209" s="31">
        <f>IF(AQ209="2",BI209,0)</f>
        <v>0</v>
      </c>
      <c r="AH209" s="31">
        <f>IF(AQ209="0",BJ209,0)</f>
        <v>0</v>
      </c>
      <c r="AI209" s="12" t="s">
        <v>49</v>
      </c>
      <c r="AJ209" s="31">
        <f>IF(AN209=0,L209,0)</f>
        <v>0</v>
      </c>
      <c r="AK209" s="31">
        <f>IF(AN209=12,L209,0)</f>
        <v>0</v>
      </c>
      <c r="AL209" s="31">
        <f>IF(AN209=21,L209,0)</f>
        <v>0</v>
      </c>
      <c r="AN209" s="31">
        <v>21</v>
      </c>
      <c r="AO209" s="31">
        <f>H209*0.057758681</f>
        <v>0</v>
      </c>
      <c r="AP209" s="31">
        <f>H209*(1-0.057758681)</f>
        <v>0</v>
      </c>
      <c r="AQ209" s="32" t="s">
        <v>91</v>
      </c>
      <c r="AV209" s="31">
        <f>AW209+AX209</f>
        <v>0</v>
      </c>
      <c r="AW209" s="31">
        <f>G209*AO209</f>
        <v>0</v>
      </c>
      <c r="AX209" s="31">
        <f>G209*AP209</f>
        <v>0</v>
      </c>
      <c r="AY209" s="32" t="s">
        <v>460</v>
      </c>
      <c r="AZ209" s="32" t="s">
        <v>461</v>
      </c>
      <c r="BA209" s="12" t="s">
        <v>60</v>
      </c>
      <c r="BC209" s="31">
        <f>AW209+AX209</f>
        <v>0</v>
      </c>
      <c r="BD209" s="31">
        <f>H209/(100-BE209)*100</f>
        <v>0</v>
      </c>
      <c r="BE209" s="31">
        <v>0</v>
      </c>
      <c r="BF209" s="31">
        <f>O209</f>
        <v>3.6666432000000007</v>
      </c>
      <c r="BH209" s="31">
        <f>G209*AO209</f>
        <v>0</v>
      </c>
      <c r="BI209" s="31">
        <f>G209*AP209</f>
        <v>0</v>
      </c>
      <c r="BJ209" s="31">
        <f>G209*H209</f>
        <v>0</v>
      </c>
      <c r="BK209" s="31"/>
      <c r="BL209" s="31">
        <v>762</v>
      </c>
      <c r="BW209" s="31" t="str">
        <f>I209</f>
        <v>21</v>
      </c>
      <c r="BX209" s="4" t="s">
        <v>495</v>
      </c>
    </row>
    <row r="210" spans="1:76" ht="14.35" x14ac:dyDescent="0.5">
      <c r="A210" s="34"/>
      <c r="D210" s="35" t="s">
        <v>496</v>
      </c>
      <c r="E210" s="35" t="s">
        <v>497</v>
      </c>
      <c r="G210" s="36">
        <v>47.52</v>
      </c>
      <c r="P210" s="37"/>
    </row>
    <row r="211" spans="1:76" ht="14.35" x14ac:dyDescent="0.5">
      <c r="A211" s="2" t="s">
        <v>498</v>
      </c>
      <c r="B211" s="3" t="s">
        <v>49</v>
      </c>
      <c r="C211" s="3" t="s">
        <v>499</v>
      </c>
      <c r="D211" s="72" t="s">
        <v>500</v>
      </c>
      <c r="E211" s="73"/>
      <c r="F211" s="3" t="s">
        <v>125</v>
      </c>
      <c r="G211" s="31">
        <v>47.52</v>
      </c>
      <c r="H211" s="71"/>
      <c r="I211" s="32" t="s">
        <v>56</v>
      </c>
      <c r="J211" s="31">
        <f>G211*AO211</f>
        <v>0</v>
      </c>
      <c r="K211" s="31">
        <f>G211*AP211</f>
        <v>0</v>
      </c>
      <c r="L211" s="31">
        <f>G211*H211</f>
        <v>0</v>
      </c>
      <c r="M211" s="31">
        <f>L211*(1+BW211/100)</f>
        <v>0</v>
      </c>
      <c r="N211" s="31">
        <v>1.4160000000000001E-2</v>
      </c>
      <c r="O211" s="31">
        <f>G211*N211</f>
        <v>0.67288320000000013</v>
      </c>
      <c r="P211" s="33" t="s">
        <v>57</v>
      </c>
      <c r="Z211" s="31">
        <f>IF(AQ211="5",BJ211,0)</f>
        <v>0</v>
      </c>
      <c r="AB211" s="31">
        <f>IF(AQ211="1",BH211,0)</f>
        <v>0</v>
      </c>
      <c r="AC211" s="31">
        <f>IF(AQ211="1",BI211,0)</f>
        <v>0</v>
      </c>
      <c r="AD211" s="31">
        <f>IF(AQ211="7",BH211,0)</f>
        <v>0</v>
      </c>
      <c r="AE211" s="31">
        <f>IF(AQ211="7",BI211,0)</f>
        <v>0</v>
      </c>
      <c r="AF211" s="31">
        <f>IF(AQ211="2",BH211,0)</f>
        <v>0</v>
      </c>
      <c r="AG211" s="31">
        <f>IF(AQ211="2",BI211,0)</f>
        <v>0</v>
      </c>
      <c r="AH211" s="31">
        <f>IF(AQ211="0",BJ211,0)</f>
        <v>0</v>
      </c>
      <c r="AI211" s="12" t="s">
        <v>49</v>
      </c>
      <c r="AJ211" s="31">
        <f>IF(AN211=0,L211,0)</f>
        <v>0</v>
      </c>
      <c r="AK211" s="31">
        <f>IF(AN211=12,L211,0)</f>
        <v>0</v>
      </c>
      <c r="AL211" s="31">
        <f>IF(AN211=21,L211,0)</f>
        <v>0</v>
      </c>
      <c r="AN211" s="31">
        <v>21</v>
      </c>
      <c r="AO211" s="31">
        <f>H211*0.091405229</f>
        <v>0</v>
      </c>
      <c r="AP211" s="31">
        <f>H211*(1-0.091405229)</f>
        <v>0</v>
      </c>
      <c r="AQ211" s="32" t="s">
        <v>91</v>
      </c>
      <c r="AV211" s="31">
        <f>AW211+AX211</f>
        <v>0</v>
      </c>
      <c r="AW211" s="31">
        <f>G211*AO211</f>
        <v>0</v>
      </c>
      <c r="AX211" s="31">
        <f>G211*AP211</f>
        <v>0</v>
      </c>
      <c r="AY211" s="32" t="s">
        <v>460</v>
      </c>
      <c r="AZ211" s="32" t="s">
        <v>461</v>
      </c>
      <c r="BA211" s="12" t="s">
        <v>60</v>
      </c>
      <c r="BC211" s="31">
        <f>AW211+AX211</f>
        <v>0</v>
      </c>
      <c r="BD211" s="31">
        <f>H211/(100-BE211)*100</f>
        <v>0</v>
      </c>
      <c r="BE211" s="31">
        <v>0</v>
      </c>
      <c r="BF211" s="31">
        <f>O211</f>
        <v>0.67288320000000013</v>
      </c>
      <c r="BH211" s="31">
        <f>G211*AO211</f>
        <v>0</v>
      </c>
      <c r="BI211" s="31">
        <f>G211*AP211</f>
        <v>0</v>
      </c>
      <c r="BJ211" s="31">
        <f>G211*H211</f>
        <v>0</v>
      </c>
      <c r="BK211" s="31"/>
      <c r="BL211" s="31">
        <v>762</v>
      </c>
      <c r="BW211" s="31" t="str">
        <f>I211</f>
        <v>21</v>
      </c>
      <c r="BX211" s="4" t="s">
        <v>500</v>
      </c>
    </row>
    <row r="212" spans="1:76" ht="14.35" x14ac:dyDescent="0.5">
      <c r="A212" s="2" t="s">
        <v>501</v>
      </c>
      <c r="B212" s="3" t="s">
        <v>49</v>
      </c>
      <c r="C212" s="3" t="s">
        <v>502</v>
      </c>
      <c r="D212" s="72" t="s">
        <v>503</v>
      </c>
      <c r="E212" s="73"/>
      <c r="F212" s="3" t="s">
        <v>179</v>
      </c>
      <c r="G212" s="31">
        <v>23</v>
      </c>
      <c r="H212" s="71"/>
      <c r="I212" s="32" t="s">
        <v>56</v>
      </c>
      <c r="J212" s="31">
        <f>G212*AO212</f>
        <v>0</v>
      </c>
      <c r="K212" s="31">
        <f>G212*AP212</f>
        <v>0</v>
      </c>
      <c r="L212" s="31">
        <f>G212*H212</f>
        <v>0</v>
      </c>
      <c r="M212" s="31">
        <f>L212*(1+BW212/100)</f>
        <v>0</v>
      </c>
      <c r="N212" s="31">
        <v>3.32E-3</v>
      </c>
      <c r="O212" s="31">
        <f>G212*N212</f>
        <v>7.6359999999999997E-2</v>
      </c>
      <c r="P212" s="33" t="s">
        <v>57</v>
      </c>
      <c r="Z212" s="31">
        <f>IF(AQ212="5",BJ212,0)</f>
        <v>0</v>
      </c>
      <c r="AB212" s="31">
        <f>IF(AQ212="1",BH212,0)</f>
        <v>0</v>
      </c>
      <c r="AC212" s="31">
        <f>IF(AQ212="1",BI212,0)</f>
        <v>0</v>
      </c>
      <c r="AD212" s="31">
        <f>IF(AQ212="7",BH212,0)</f>
        <v>0</v>
      </c>
      <c r="AE212" s="31">
        <f>IF(AQ212="7",BI212,0)</f>
        <v>0</v>
      </c>
      <c r="AF212" s="31">
        <f>IF(AQ212="2",BH212,0)</f>
        <v>0</v>
      </c>
      <c r="AG212" s="31">
        <f>IF(AQ212="2",BI212,0)</f>
        <v>0</v>
      </c>
      <c r="AH212" s="31">
        <f>IF(AQ212="0",BJ212,0)</f>
        <v>0</v>
      </c>
      <c r="AI212" s="12" t="s">
        <v>49</v>
      </c>
      <c r="AJ212" s="31">
        <f>IF(AN212=0,L212,0)</f>
        <v>0</v>
      </c>
      <c r="AK212" s="31">
        <f>IF(AN212=12,L212,0)</f>
        <v>0</v>
      </c>
      <c r="AL212" s="31">
        <f>IF(AN212=21,L212,0)</f>
        <v>0</v>
      </c>
      <c r="AN212" s="31">
        <v>21</v>
      </c>
      <c r="AO212" s="31">
        <f>H212*0.04943018</f>
        <v>0</v>
      </c>
      <c r="AP212" s="31">
        <f>H212*(1-0.04943018)</f>
        <v>0</v>
      </c>
      <c r="AQ212" s="32" t="s">
        <v>91</v>
      </c>
      <c r="AV212" s="31">
        <f>AW212+AX212</f>
        <v>0</v>
      </c>
      <c r="AW212" s="31">
        <f>G212*AO212</f>
        <v>0</v>
      </c>
      <c r="AX212" s="31">
        <f>G212*AP212</f>
        <v>0</v>
      </c>
      <c r="AY212" s="32" t="s">
        <v>460</v>
      </c>
      <c r="AZ212" s="32" t="s">
        <v>461</v>
      </c>
      <c r="BA212" s="12" t="s">
        <v>60</v>
      </c>
      <c r="BC212" s="31">
        <f>AW212+AX212</f>
        <v>0</v>
      </c>
      <c r="BD212" s="31">
        <f>H212/(100-BE212)*100</f>
        <v>0</v>
      </c>
      <c r="BE212" s="31">
        <v>0</v>
      </c>
      <c r="BF212" s="31">
        <f>O212</f>
        <v>7.6359999999999997E-2</v>
      </c>
      <c r="BH212" s="31">
        <f>G212*AO212</f>
        <v>0</v>
      </c>
      <c r="BI212" s="31">
        <f>G212*AP212</f>
        <v>0</v>
      </c>
      <c r="BJ212" s="31">
        <f>G212*H212</f>
        <v>0</v>
      </c>
      <c r="BK212" s="31"/>
      <c r="BL212" s="31">
        <v>762</v>
      </c>
      <c r="BW212" s="31" t="str">
        <f>I212</f>
        <v>21</v>
      </c>
      <c r="BX212" s="4" t="s">
        <v>503</v>
      </c>
    </row>
    <row r="213" spans="1:76" ht="14.35" x14ac:dyDescent="0.5">
      <c r="A213" s="34"/>
      <c r="D213" s="35" t="s">
        <v>84</v>
      </c>
      <c r="E213" s="35" t="s">
        <v>504</v>
      </c>
      <c r="G213" s="36">
        <v>6</v>
      </c>
      <c r="P213" s="37"/>
    </row>
    <row r="214" spans="1:76" ht="14.35" x14ac:dyDescent="0.5">
      <c r="A214" s="34"/>
      <c r="D214" s="35" t="s">
        <v>84</v>
      </c>
      <c r="E214" s="35" t="s">
        <v>505</v>
      </c>
      <c r="G214" s="36">
        <v>6</v>
      </c>
      <c r="P214" s="37"/>
    </row>
    <row r="215" spans="1:76" ht="14.35" x14ac:dyDescent="0.5">
      <c r="A215" s="34"/>
      <c r="D215" s="35" t="s">
        <v>111</v>
      </c>
      <c r="E215" s="35" t="s">
        <v>506</v>
      </c>
      <c r="G215" s="36">
        <v>11</v>
      </c>
      <c r="P215" s="37"/>
    </row>
    <row r="216" spans="1:76" ht="14.35" x14ac:dyDescent="0.5">
      <c r="A216" s="2" t="s">
        <v>507</v>
      </c>
      <c r="B216" s="3" t="s">
        <v>49</v>
      </c>
      <c r="C216" s="3" t="s">
        <v>508</v>
      </c>
      <c r="D216" s="72" t="s">
        <v>509</v>
      </c>
      <c r="E216" s="73"/>
      <c r="F216" s="3" t="s">
        <v>290</v>
      </c>
      <c r="G216" s="31">
        <v>0.02</v>
      </c>
      <c r="H216" s="71"/>
      <c r="I216" s="32" t="s">
        <v>56</v>
      </c>
      <c r="J216" s="31">
        <f>G216*AO216</f>
        <v>0</v>
      </c>
      <c r="K216" s="31">
        <f>G216*AP216</f>
        <v>0</v>
      </c>
      <c r="L216" s="31">
        <f>G216*H216</f>
        <v>0</v>
      </c>
      <c r="M216" s="31">
        <f>L216*(1+BW216/100)</f>
        <v>0</v>
      </c>
      <c r="N216" s="31">
        <v>1</v>
      </c>
      <c r="O216" s="31">
        <f>G216*N216</f>
        <v>0.02</v>
      </c>
      <c r="P216" s="33" t="s">
        <v>57</v>
      </c>
      <c r="Z216" s="31">
        <f>IF(AQ216="5",BJ216,0)</f>
        <v>0</v>
      </c>
      <c r="AB216" s="31">
        <f>IF(AQ216="1",BH216,0)</f>
        <v>0</v>
      </c>
      <c r="AC216" s="31">
        <f>IF(AQ216="1",BI216,0)</f>
        <v>0</v>
      </c>
      <c r="AD216" s="31">
        <f>IF(AQ216="7",BH216,0)</f>
        <v>0</v>
      </c>
      <c r="AE216" s="31">
        <f>IF(AQ216="7",BI216,0)</f>
        <v>0</v>
      </c>
      <c r="AF216" s="31">
        <f>IF(AQ216="2",BH216,0)</f>
        <v>0</v>
      </c>
      <c r="AG216" s="31">
        <f>IF(AQ216="2",BI216,0)</f>
        <v>0</v>
      </c>
      <c r="AH216" s="31">
        <f>IF(AQ216="0",BJ216,0)</f>
        <v>0</v>
      </c>
      <c r="AI216" s="12" t="s">
        <v>49</v>
      </c>
      <c r="AJ216" s="31">
        <f>IF(AN216=0,L216,0)</f>
        <v>0</v>
      </c>
      <c r="AK216" s="31">
        <f>IF(AN216=12,L216,0)</f>
        <v>0</v>
      </c>
      <c r="AL216" s="31">
        <f>IF(AN216=21,L216,0)</f>
        <v>0</v>
      </c>
      <c r="AN216" s="31">
        <v>21</v>
      </c>
      <c r="AO216" s="31">
        <f>H216*1</f>
        <v>0</v>
      </c>
      <c r="AP216" s="31">
        <f>H216*(1-1)</f>
        <v>0</v>
      </c>
      <c r="AQ216" s="32" t="s">
        <v>91</v>
      </c>
      <c r="AV216" s="31">
        <f>AW216+AX216</f>
        <v>0</v>
      </c>
      <c r="AW216" s="31">
        <f>G216*AO216</f>
        <v>0</v>
      </c>
      <c r="AX216" s="31">
        <f>G216*AP216</f>
        <v>0</v>
      </c>
      <c r="AY216" s="32" t="s">
        <v>460</v>
      </c>
      <c r="AZ216" s="32" t="s">
        <v>461</v>
      </c>
      <c r="BA216" s="12" t="s">
        <v>60</v>
      </c>
      <c r="BC216" s="31">
        <f>AW216+AX216</f>
        <v>0</v>
      </c>
      <c r="BD216" s="31">
        <f>H216/(100-BE216)*100</f>
        <v>0</v>
      </c>
      <c r="BE216" s="31">
        <v>0</v>
      </c>
      <c r="BF216" s="31">
        <f>O216</f>
        <v>0.02</v>
      </c>
      <c r="BH216" s="31">
        <f>G216*AO216</f>
        <v>0</v>
      </c>
      <c r="BI216" s="31">
        <f>G216*AP216</f>
        <v>0</v>
      </c>
      <c r="BJ216" s="31">
        <f>G216*H216</f>
        <v>0</v>
      </c>
      <c r="BK216" s="31"/>
      <c r="BL216" s="31">
        <v>762</v>
      </c>
      <c r="BW216" s="31" t="str">
        <f>I216</f>
        <v>21</v>
      </c>
      <c r="BX216" s="4" t="s">
        <v>509</v>
      </c>
    </row>
    <row r="217" spans="1:76" ht="14.35" x14ac:dyDescent="0.5">
      <c r="A217" s="34"/>
      <c r="D217" s="35" t="s">
        <v>510</v>
      </c>
      <c r="E217" s="35" t="s">
        <v>49</v>
      </c>
      <c r="G217" s="36">
        <v>0.02</v>
      </c>
      <c r="P217" s="37"/>
    </row>
    <row r="218" spans="1:76" ht="14.35" x14ac:dyDescent="0.5">
      <c r="A218" s="34"/>
      <c r="D218" s="35" t="s">
        <v>511</v>
      </c>
      <c r="E218" s="35" t="s">
        <v>49</v>
      </c>
      <c r="G218" s="36">
        <v>0</v>
      </c>
      <c r="P218" s="37"/>
    </row>
    <row r="219" spans="1:76" ht="14.35" x14ac:dyDescent="0.5">
      <c r="A219" s="2" t="s">
        <v>512</v>
      </c>
      <c r="B219" s="3" t="s">
        <v>49</v>
      </c>
      <c r="C219" s="3" t="s">
        <v>513</v>
      </c>
      <c r="D219" s="72" t="s">
        <v>514</v>
      </c>
      <c r="E219" s="73"/>
      <c r="F219" s="3" t="s">
        <v>290</v>
      </c>
      <c r="G219" s="31">
        <v>0.03</v>
      </c>
      <c r="H219" s="71"/>
      <c r="I219" s="32" t="s">
        <v>56</v>
      </c>
      <c r="J219" s="31">
        <f>G219*AO219</f>
        <v>0</v>
      </c>
      <c r="K219" s="31">
        <f>G219*AP219</f>
        <v>0</v>
      </c>
      <c r="L219" s="31">
        <f>G219*H219</f>
        <v>0</v>
      </c>
      <c r="M219" s="31">
        <f>L219*(1+BW219/100)</f>
        <v>0</v>
      </c>
      <c r="N219" s="31">
        <v>1</v>
      </c>
      <c r="O219" s="31">
        <f>G219*N219</f>
        <v>0.03</v>
      </c>
      <c r="P219" s="33" t="s">
        <v>57</v>
      </c>
      <c r="Z219" s="31">
        <f>IF(AQ219="5",BJ219,0)</f>
        <v>0</v>
      </c>
      <c r="AB219" s="31">
        <f>IF(AQ219="1",BH219,0)</f>
        <v>0</v>
      </c>
      <c r="AC219" s="31">
        <f>IF(AQ219="1",BI219,0)</f>
        <v>0</v>
      </c>
      <c r="AD219" s="31">
        <f>IF(AQ219="7",BH219,0)</f>
        <v>0</v>
      </c>
      <c r="AE219" s="31">
        <f>IF(AQ219="7",BI219,0)</f>
        <v>0</v>
      </c>
      <c r="AF219" s="31">
        <f>IF(AQ219="2",BH219,0)</f>
        <v>0</v>
      </c>
      <c r="AG219" s="31">
        <f>IF(AQ219="2",BI219,0)</f>
        <v>0</v>
      </c>
      <c r="AH219" s="31">
        <f>IF(AQ219="0",BJ219,0)</f>
        <v>0</v>
      </c>
      <c r="AI219" s="12" t="s">
        <v>49</v>
      </c>
      <c r="AJ219" s="31">
        <f>IF(AN219=0,L219,0)</f>
        <v>0</v>
      </c>
      <c r="AK219" s="31">
        <f>IF(AN219=12,L219,0)</f>
        <v>0</v>
      </c>
      <c r="AL219" s="31">
        <f>IF(AN219=21,L219,0)</f>
        <v>0</v>
      </c>
      <c r="AN219" s="31">
        <v>21</v>
      </c>
      <c r="AO219" s="31">
        <f>H219*1</f>
        <v>0</v>
      </c>
      <c r="AP219" s="31">
        <f>H219*(1-1)</f>
        <v>0</v>
      </c>
      <c r="AQ219" s="32" t="s">
        <v>91</v>
      </c>
      <c r="AV219" s="31">
        <f>AW219+AX219</f>
        <v>0</v>
      </c>
      <c r="AW219" s="31">
        <f>G219*AO219</f>
        <v>0</v>
      </c>
      <c r="AX219" s="31">
        <f>G219*AP219</f>
        <v>0</v>
      </c>
      <c r="AY219" s="32" t="s">
        <v>460</v>
      </c>
      <c r="AZ219" s="32" t="s">
        <v>461</v>
      </c>
      <c r="BA219" s="12" t="s">
        <v>60</v>
      </c>
      <c r="BC219" s="31">
        <f>AW219+AX219</f>
        <v>0</v>
      </c>
      <c r="BD219" s="31">
        <f>H219/(100-BE219)*100</f>
        <v>0</v>
      </c>
      <c r="BE219" s="31">
        <v>0</v>
      </c>
      <c r="BF219" s="31">
        <f>O219</f>
        <v>0.03</v>
      </c>
      <c r="BH219" s="31">
        <f>G219*AO219</f>
        <v>0</v>
      </c>
      <c r="BI219" s="31">
        <f>G219*AP219</f>
        <v>0</v>
      </c>
      <c r="BJ219" s="31">
        <f>G219*H219</f>
        <v>0</v>
      </c>
      <c r="BK219" s="31"/>
      <c r="BL219" s="31">
        <v>762</v>
      </c>
      <c r="BW219" s="31" t="str">
        <f>I219</f>
        <v>21</v>
      </c>
      <c r="BX219" s="4" t="s">
        <v>514</v>
      </c>
    </row>
    <row r="220" spans="1:76" ht="14.35" x14ac:dyDescent="0.5">
      <c r="A220" s="34"/>
      <c r="D220" s="35" t="s">
        <v>515</v>
      </c>
      <c r="E220" s="35" t="s">
        <v>49</v>
      </c>
      <c r="G220" s="36">
        <v>0.03</v>
      </c>
      <c r="P220" s="37"/>
    </row>
    <row r="221" spans="1:76" ht="14.35" x14ac:dyDescent="0.5">
      <c r="A221" s="34"/>
      <c r="D221" s="35" t="s">
        <v>516</v>
      </c>
      <c r="E221" s="35" t="s">
        <v>49</v>
      </c>
      <c r="G221" s="36">
        <v>0</v>
      </c>
      <c r="P221" s="37"/>
    </row>
    <row r="222" spans="1:76" ht="14.35" x14ac:dyDescent="0.5">
      <c r="A222" s="2" t="s">
        <v>517</v>
      </c>
      <c r="B222" s="3" t="s">
        <v>49</v>
      </c>
      <c r="C222" s="3" t="s">
        <v>518</v>
      </c>
      <c r="D222" s="72" t="s">
        <v>519</v>
      </c>
      <c r="E222" s="73"/>
      <c r="F222" s="3" t="s">
        <v>290</v>
      </c>
      <c r="G222" s="31">
        <v>0.01</v>
      </c>
      <c r="H222" s="71"/>
      <c r="I222" s="32" t="s">
        <v>56</v>
      </c>
      <c r="J222" s="31">
        <f>G222*AO222</f>
        <v>0</v>
      </c>
      <c r="K222" s="31">
        <f>G222*AP222</f>
        <v>0</v>
      </c>
      <c r="L222" s="31">
        <f>G222*H222</f>
        <v>0</v>
      </c>
      <c r="M222" s="31">
        <f>L222*(1+BW222/100)</f>
        <v>0</v>
      </c>
      <c r="N222" s="31">
        <v>1</v>
      </c>
      <c r="O222" s="31">
        <f>G222*N222</f>
        <v>0.01</v>
      </c>
      <c r="P222" s="33" t="s">
        <v>57</v>
      </c>
      <c r="Z222" s="31">
        <f>IF(AQ222="5",BJ222,0)</f>
        <v>0</v>
      </c>
      <c r="AB222" s="31">
        <f>IF(AQ222="1",BH222,0)</f>
        <v>0</v>
      </c>
      <c r="AC222" s="31">
        <f>IF(AQ222="1",BI222,0)</f>
        <v>0</v>
      </c>
      <c r="AD222" s="31">
        <f>IF(AQ222="7",BH222,0)</f>
        <v>0</v>
      </c>
      <c r="AE222" s="31">
        <f>IF(AQ222="7",BI222,0)</f>
        <v>0</v>
      </c>
      <c r="AF222" s="31">
        <f>IF(AQ222="2",BH222,0)</f>
        <v>0</v>
      </c>
      <c r="AG222" s="31">
        <f>IF(AQ222="2",BI222,0)</f>
        <v>0</v>
      </c>
      <c r="AH222" s="31">
        <f>IF(AQ222="0",BJ222,0)</f>
        <v>0</v>
      </c>
      <c r="AI222" s="12" t="s">
        <v>49</v>
      </c>
      <c r="AJ222" s="31">
        <f>IF(AN222=0,L222,0)</f>
        <v>0</v>
      </c>
      <c r="AK222" s="31">
        <f>IF(AN222=12,L222,0)</f>
        <v>0</v>
      </c>
      <c r="AL222" s="31">
        <f>IF(AN222=21,L222,0)</f>
        <v>0</v>
      </c>
      <c r="AN222" s="31">
        <v>21</v>
      </c>
      <c r="AO222" s="31">
        <f>H222*1</f>
        <v>0</v>
      </c>
      <c r="AP222" s="31">
        <f>H222*(1-1)</f>
        <v>0</v>
      </c>
      <c r="AQ222" s="32" t="s">
        <v>91</v>
      </c>
      <c r="AV222" s="31">
        <f>AW222+AX222</f>
        <v>0</v>
      </c>
      <c r="AW222" s="31">
        <f>G222*AO222</f>
        <v>0</v>
      </c>
      <c r="AX222" s="31">
        <f>G222*AP222</f>
        <v>0</v>
      </c>
      <c r="AY222" s="32" t="s">
        <v>460</v>
      </c>
      <c r="AZ222" s="32" t="s">
        <v>461</v>
      </c>
      <c r="BA222" s="12" t="s">
        <v>60</v>
      </c>
      <c r="BC222" s="31">
        <f>AW222+AX222</f>
        <v>0</v>
      </c>
      <c r="BD222" s="31">
        <f>H222/(100-BE222)*100</f>
        <v>0</v>
      </c>
      <c r="BE222" s="31">
        <v>0</v>
      </c>
      <c r="BF222" s="31">
        <f>O222</f>
        <v>0.01</v>
      </c>
      <c r="BH222" s="31">
        <f>G222*AO222</f>
        <v>0</v>
      </c>
      <c r="BI222" s="31">
        <f>G222*AP222</f>
        <v>0</v>
      </c>
      <c r="BJ222" s="31">
        <f>G222*H222</f>
        <v>0</v>
      </c>
      <c r="BK222" s="31"/>
      <c r="BL222" s="31">
        <v>762</v>
      </c>
      <c r="BW222" s="31" t="str">
        <f>I222</f>
        <v>21</v>
      </c>
      <c r="BX222" s="4" t="s">
        <v>519</v>
      </c>
    </row>
    <row r="223" spans="1:76" ht="14.35" x14ac:dyDescent="0.5">
      <c r="A223" s="34"/>
      <c r="D223" s="35" t="s">
        <v>520</v>
      </c>
      <c r="E223" s="35" t="s">
        <v>49</v>
      </c>
      <c r="G223" s="36">
        <v>0.01</v>
      </c>
      <c r="P223" s="37"/>
    </row>
    <row r="224" spans="1:76" ht="14.35" x14ac:dyDescent="0.5">
      <c r="A224" s="34"/>
      <c r="D224" s="35" t="s">
        <v>521</v>
      </c>
      <c r="E224" s="35" t="s">
        <v>49</v>
      </c>
      <c r="G224" s="36">
        <v>0</v>
      </c>
      <c r="P224" s="37"/>
    </row>
    <row r="225" spans="1:76" ht="14.35" x14ac:dyDescent="0.5">
      <c r="A225" s="2" t="s">
        <v>522</v>
      </c>
      <c r="B225" s="3" t="s">
        <v>49</v>
      </c>
      <c r="C225" s="3" t="s">
        <v>523</v>
      </c>
      <c r="D225" s="72" t="s">
        <v>524</v>
      </c>
      <c r="E225" s="73"/>
      <c r="F225" s="3" t="s">
        <v>179</v>
      </c>
      <c r="G225" s="31">
        <v>2645</v>
      </c>
      <c r="H225" s="71"/>
      <c r="I225" s="32" t="s">
        <v>56</v>
      </c>
      <c r="J225" s="31">
        <f>G225*AO225</f>
        <v>0</v>
      </c>
      <c r="K225" s="31">
        <f>G225*AP225</f>
        <v>0</v>
      </c>
      <c r="L225" s="31">
        <f>G225*H225</f>
        <v>0</v>
      </c>
      <c r="M225" s="31">
        <f>L225*(1+BW225/100)</f>
        <v>0</v>
      </c>
      <c r="N225" s="31">
        <v>0</v>
      </c>
      <c r="O225" s="31">
        <f>G225*N225</f>
        <v>0</v>
      </c>
      <c r="P225" s="33" t="s">
        <v>57</v>
      </c>
      <c r="Z225" s="31">
        <f>IF(AQ225="5",BJ225,0)</f>
        <v>0</v>
      </c>
      <c r="AB225" s="31">
        <f>IF(AQ225="1",BH225,0)</f>
        <v>0</v>
      </c>
      <c r="AC225" s="31">
        <f>IF(AQ225="1",BI225,0)</f>
        <v>0</v>
      </c>
      <c r="AD225" s="31">
        <f>IF(AQ225="7",BH225,0)</f>
        <v>0</v>
      </c>
      <c r="AE225" s="31">
        <f>IF(AQ225="7",BI225,0)</f>
        <v>0</v>
      </c>
      <c r="AF225" s="31">
        <f>IF(AQ225="2",BH225,0)</f>
        <v>0</v>
      </c>
      <c r="AG225" s="31">
        <f>IF(AQ225="2",BI225,0)</f>
        <v>0</v>
      </c>
      <c r="AH225" s="31">
        <f>IF(AQ225="0",BJ225,0)</f>
        <v>0</v>
      </c>
      <c r="AI225" s="12" t="s">
        <v>49</v>
      </c>
      <c r="AJ225" s="31">
        <f>IF(AN225=0,L225,0)</f>
        <v>0</v>
      </c>
      <c r="AK225" s="31">
        <f>IF(AN225=12,L225,0)</f>
        <v>0</v>
      </c>
      <c r="AL225" s="31">
        <f>IF(AN225=21,L225,0)</f>
        <v>0</v>
      </c>
      <c r="AN225" s="31">
        <v>21</v>
      </c>
      <c r="AO225" s="31">
        <f>H225*0</f>
        <v>0</v>
      </c>
      <c r="AP225" s="31">
        <f>H225*(1-0)</f>
        <v>0</v>
      </c>
      <c r="AQ225" s="32" t="s">
        <v>91</v>
      </c>
      <c r="AV225" s="31">
        <f>AW225+AX225</f>
        <v>0</v>
      </c>
      <c r="AW225" s="31">
        <f>G225*AO225</f>
        <v>0</v>
      </c>
      <c r="AX225" s="31">
        <f>G225*AP225</f>
        <v>0</v>
      </c>
      <c r="AY225" s="32" t="s">
        <v>460</v>
      </c>
      <c r="AZ225" s="32" t="s">
        <v>461</v>
      </c>
      <c r="BA225" s="12" t="s">
        <v>60</v>
      </c>
      <c r="BC225" s="31">
        <f>AW225+AX225</f>
        <v>0</v>
      </c>
      <c r="BD225" s="31">
        <f>H225/(100-BE225)*100</f>
        <v>0</v>
      </c>
      <c r="BE225" s="31">
        <v>0</v>
      </c>
      <c r="BF225" s="31">
        <f>O225</f>
        <v>0</v>
      </c>
      <c r="BH225" s="31">
        <f>G225*AO225</f>
        <v>0</v>
      </c>
      <c r="BI225" s="31">
        <f>G225*AP225</f>
        <v>0</v>
      </c>
      <c r="BJ225" s="31">
        <f>G225*H225</f>
        <v>0</v>
      </c>
      <c r="BK225" s="31"/>
      <c r="BL225" s="31">
        <v>762</v>
      </c>
      <c r="BW225" s="31" t="str">
        <f>I225</f>
        <v>21</v>
      </c>
      <c r="BX225" s="4" t="s">
        <v>524</v>
      </c>
    </row>
    <row r="226" spans="1:76" ht="14.35" x14ac:dyDescent="0.5">
      <c r="A226" s="34"/>
      <c r="D226" s="35" t="s">
        <v>525</v>
      </c>
      <c r="E226" s="35" t="s">
        <v>526</v>
      </c>
      <c r="G226" s="36">
        <v>768</v>
      </c>
      <c r="P226" s="37"/>
    </row>
    <row r="227" spans="1:76" ht="14.35" x14ac:dyDescent="0.5">
      <c r="A227" s="34"/>
      <c r="D227" s="35" t="s">
        <v>527</v>
      </c>
      <c r="E227" s="35" t="s">
        <v>528</v>
      </c>
      <c r="G227" s="36">
        <v>50</v>
      </c>
      <c r="P227" s="37"/>
    </row>
    <row r="228" spans="1:76" ht="14.35" x14ac:dyDescent="0.5">
      <c r="A228" s="34"/>
      <c r="D228" s="35" t="s">
        <v>529</v>
      </c>
      <c r="E228" s="35" t="s">
        <v>530</v>
      </c>
      <c r="G228" s="36">
        <v>1444</v>
      </c>
      <c r="P228" s="37"/>
    </row>
    <row r="229" spans="1:76" ht="14.35" x14ac:dyDescent="0.5">
      <c r="A229" s="34"/>
      <c r="D229" s="35" t="s">
        <v>531</v>
      </c>
      <c r="E229" s="35" t="s">
        <v>532</v>
      </c>
      <c r="G229" s="36">
        <v>360</v>
      </c>
      <c r="P229" s="37"/>
    </row>
    <row r="230" spans="1:76" ht="14.35" x14ac:dyDescent="0.5">
      <c r="A230" s="34"/>
      <c r="D230" s="35" t="s">
        <v>533</v>
      </c>
      <c r="E230" s="35" t="s">
        <v>505</v>
      </c>
      <c r="G230" s="36">
        <v>12</v>
      </c>
      <c r="P230" s="37"/>
    </row>
    <row r="231" spans="1:76" ht="14.35" x14ac:dyDescent="0.5">
      <c r="A231" s="34"/>
      <c r="D231" s="35" t="s">
        <v>534</v>
      </c>
      <c r="E231" s="35" t="s">
        <v>506</v>
      </c>
      <c r="G231" s="36">
        <v>11</v>
      </c>
      <c r="P231" s="37"/>
    </row>
    <row r="232" spans="1:76" ht="14.35" x14ac:dyDescent="0.5">
      <c r="A232" s="2" t="s">
        <v>535</v>
      </c>
      <c r="B232" s="3" t="s">
        <v>49</v>
      </c>
      <c r="C232" s="3" t="s">
        <v>536</v>
      </c>
      <c r="D232" s="72" t="s">
        <v>537</v>
      </c>
      <c r="E232" s="73"/>
      <c r="F232" s="3" t="s">
        <v>179</v>
      </c>
      <c r="G232" s="31">
        <v>2374</v>
      </c>
      <c r="H232" s="71"/>
      <c r="I232" s="32" t="s">
        <v>56</v>
      </c>
      <c r="J232" s="31">
        <f>G232*AO232</f>
        <v>0</v>
      </c>
      <c r="K232" s="31">
        <f>G232*AP232</f>
        <v>0</v>
      </c>
      <c r="L232" s="31">
        <f>G232*H232</f>
        <v>0</v>
      </c>
      <c r="M232" s="31">
        <f>L232*(1+BW232/100)</f>
        <v>0</v>
      </c>
      <c r="N232" s="31">
        <v>0</v>
      </c>
      <c r="O232" s="31">
        <f>G232*N232</f>
        <v>0</v>
      </c>
      <c r="P232" s="33" t="s">
        <v>57</v>
      </c>
      <c r="Z232" s="31">
        <f>IF(AQ232="5",BJ232,0)</f>
        <v>0</v>
      </c>
      <c r="AB232" s="31">
        <f>IF(AQ232="1",BH232,0)</f>
        <v>0</v>
      </c>
      <c r="AC232" s="31">
        <f>IF(AQ232="1",BI232,0)</f>
        <v>0</v>
      </c>
      <c r="AD232" s="31">
        <f>IF(AQ232="7",BH232,0)</f>
        <v>0</v>
      </c>
      <c r="AE232" s="31">
        <f>IF(AQ232="7",BI232,0)</f>
        <v>0</v>
      </c>
      <c r="AF232" s="31">
        <f>IF(AQ232="2",BH232,0)</f>
        <v>0</v>
      </c>
      <c r="AG232" s="31">
        <f>IF(AQ232="2",BI232,0)</f>
        <v>0</v>
      </c>
      <c r="AH232" s="31">
        <f>IF(AQ232="0",BJ232,0)</f>
        <v>0</v>
      </c>
      <c r="AI232" s="12" t="s">
        <v>49</v>
      </c>
      <c r="AJ232" s="31">
        <f>IF(AN232=0,L232,0)</f>
        <v>0</v>
      </c>
      <c r="AK232" s="31">
        <f>IF(AN232=12,L232,0)</f>
        <v>0</v>
      </c>
      <c r="AL232" s="31">
        <f>IF(AN232=21,L232,0)</f>
        <v>0</v>
      </c>
      <c r="AN232" s="31">
        <v>21</v>
      </c>
      <c r="AO232" s="31">
        <f>H232*1</f>
        <v>0</v>
      </c>
      <c r="AP232" s="31">
        <f>H232*(1-1)</f>
        <v>0</v>
      </c>
      <c r="AQ232" s="32" t="s">
        <v>91</v>
      </c>
      <c r="AV232" s="31">
        <f>AW232+AX232</f>
        <v>0</v>
      </c>
      <c r="AW232" s="31">
        <f>G232*AO232</f>
        <v>0</v>
      </c>
      <c r="AX232" s="31">
        <f>G232*AP232</f>
        <v>0</v>
      </c>
      <c r="AY232" s="32" t="s">
        <v>460</v>
      </c>
      <c r="AZ232" s="32" t="s">
        <v>461</v>
      </c>
      <c r="BA232" s="12" t="s">
        <v>60</v>
      </c>
      <c r="BC232" s="31">
        <f>AW232+AX232</f>
        <v>0</v>
      </c>
      <c r="BD232" s="31">
        <f>H232/(100-BE232)*100</f>
        <v>0</v>
      </c>
      <c r="BE232" s="31">
        <v>0</v>
      </c>
      <c r="BF232" s="31">
        <f>O232</f>
        <v>0</v>
      </c>
      <c r="BH232" s="31">
        <f>G232*AO232</f>
        <v>0</v>
      </c>
      <c r="BI232" s="31">
        <f>G232*AP232</f>
        <v>0</v>
      </c>
      <c r="BJ232" s="31">
        <f>G232*H232</f>
        <v>0</v>
      </c>
      <c r="BK232" s="31"/>
      <c r="BL232" s="31">
        <v>762</v>
      </c>
      <c r="BW232" s="31" t="str">
        <f>I232</f>
        <v>21</v>
      </c>
      <c r="BX232" s="4" t="s">
        <v>537</v>
      </c>
    </row>
    <row r="233" spans="1:76" ht="14.35" x14ac:dyDescent="0.5">
      <c r="A233" s="34"/>
      <c r="D233" s="35" t="s">
        <v>538</v>
      </c>
      <c r="E233" s="35" t="s">
        <v>539</v>
      </c>
      <c r="G233" s="36">
        <v>1536</v>
      </c>
      <c r="P233" s="37"/>
    </row>
    <row r="234" spans="1:76" ht="14.35" x14ac:dyDescent="0.5">
      <c r="A234" s="34"/>
      <c r="D234" s="35" t="s">
        <v>540</v>
      </c>
      <c r="E234" s="35" t="s">
        <v>528</v>
      </c>
      <c r="G234" s="36">
        <v>72</v>
      </c>
      <c r="P234" s="37"/>
    </row>
    <row r="235" spans="1:76" ht="14.35" x14ac:dyDescent="0.5">
      <c r="A235" s="34"/>
      <c r="D235" s="35" t="s">
        <v>541</v>
      </c>
      <c r="E235" s="35" t="s">
        <v>532</v>
      </c>
      <c r="G235" s="36">
        <v>720</v>
      </c>
      <c r="P235" s="37"/>
    </row>
    <row r="236" spans="1:76" ht="14.35" x14ac:dyDescent="0.5">
      <c r="A236" s="34"/>
      <c r="D236" s="35" t="s">
        <v>542</v>
      </c>
      <c r="E236" s="35" t="s">
        <v>505</v>
      </c>
      <c r="G236" s="36">
        <v>24</v>
      </c>
      <c r="P236" s="37"/>
    </row>
    <row r="237" spans="1:76" ht="14.35" x14ac:dyDescent="0.5">
      <c r="A237" s="34"/>
      <c r="D237" s="35" t="s">
        <v>543</v>
      </c>
      <c r="E237" s="35" t="s">
        <v>506</v>
      </c>
      <c r="G237" s="36">
        <v>22</v>
      </c>
      <c r="P237" s="37"/>
    </row>
    <row r="238" spans="1:76" ht="14.35" x14ac:dyDescent="0.5">
      <c r="A238" s="2" t="s">
        <v>544</v>
      </c>
      <c r="B238" s="3" t="s">
        <v>49</v>
      </c>
      <c r="C238" s="3" t="s">
        <v>545</v>
      </c>
      <c r="D238" s="72" t="s">
        <v>546</v>
      </c>
      <c r="E238" s="73"/>
      <c r="F238" s="3" t="s">
        <v>179</v>
      </c>
      <c r="G238" s="31">
        <v>2916</v>
      </c>
      <c r="H238" s="71"/>
      <c r="I238" s="32" t="s">
        <v>56</v>
      </c>
      <c r="J238" s="31">
        <f>G238*AO238</f>
        <v>0</v>
      </c>
      <c r="K238" s="31">
        <f>G238*AP238</f>
        <v>0</v>
      </c>
      <c r="L238" s="31">
        <f>G238*H238</f>
        <v>0</v>
      </c>
      <c r="M238" s="31">
        <f>L238*(1+BW238/100)</f>
        <v>0</v>
      </c>
      <c r="N238" s="31">
        <v>0</v>
      </c>
      <c r="O238" s="31">
        <f>G238*N238</f>
        <v>0</v>
      </c>
      <c r="P238" s="33" t="s">
        <v>57</v>
      </c>
      <c r="Z238" s="31">
        <f>IF(AQ238="5",BJ238,0)</f>
        <v>0</v>
      </c>
      <c r="AB238" s="31">
        <f>IF(AQ238="1",BH238,0)</f>
        <v>0</v>
      </c>
      <c r="AC238" s="31">
        <f>IF(AQ238="1",BI238,0)</f>
        <v>0</v>
      </c>
      <c r="AD238" s="31">
        <f>IF(AQ238="7",BH238,0)</f>
        <v>0</v>
      </c>
      <c r="AE238" s="31">
        <f>IF(AQ238="7",BI238,0)</f>
        <v>0</v>
      </c>
      <c r="AF238" s="31">
        <f>IF(AQ238="2",BH238,0)</f>
        <v>0</v>
      </c>
      <c r="AG238" s="31">
        <f>IF(AQ238="2",BI238,0)</f>
        <v>0</v>
      </c>
      <c r="AH238" s="31">
        <f>IF(AQ238="0",BJ238,0)</f>
        <v>0</v>
      </c>
      <c r="AI238" s="12" t="s">
        <v>49</v>
      </c>
      <c r="AJ238" s="31">
        <f>IF(AN238=0,L238,0)</f>
        <v>0</v>
      </c>
      <c r="AK238" s="31">
        <f>IF(AN238=12,L238,0)</f>
        <v>0</v>
      </c>
      <c r="AL238" s="31">
        <f>IF(AN238=21,L238,0)</f>
        <v>0</v>
      </c>
      <c r="AN238" s="31">
        <v>21</v>
      </c>
      <c r="AO238" s="31">
        <f>H238*1</f>
        <v>0</v>
      </c>
      <c r="AP238" s="31">
        <f>H238*(1-1)</f>
        <v>0</v>
      </c>
      <c r="AQ238" s="32" t="s">
        <v>91</v>
      </c>
      <c r="AV238" s="31">
        <f>AW238+AX238</f>
        <v>0</v>
      </c>
      <c r="AW238" s="31">
        <f>G238*AO238</f>
        <v>0</v>
      </c>
      <c r="AX238" s="31">
        <f>G238*AP238</f>
        <v>0</v>
      </c>
      <c r="AY238" s="32" t="s">
        <v>460</v>
      </c>
      <c r="AZ238" s="32" t="s">
        <v>461</v>
      </c>
      <c r="BA238" s="12" t="s">
        <v>60</v>
      </c>
      <c r="BC238" s="31">
        <f>AW238+AX238</f>
        <v>0</v>
      </c>
      <c r="BD238" s="31">
        <f>H238/(100-BE238)*100</f>
        <v>0</v>
      </c>
      <c r="BE238" s="31">
        <v>0</v>
      </c>
      <c r="BF238" s="31">
        <f>O238</f>
        <v>0</v>
      </c>
      <c r="BH238" s="31">
        <f>G238*AO238</f>
        <v>0</v>
      </c>
      <c r="BI238" s="31">
        <f>G238*AP238</f>
        <v>0</v>
      </c>
      <c r="BJ238" s="31">
        <f>G238*H238</f>
        <v>0</v>
      </c>
      <c r="BK238" s="31"/>
      <c r="BL238" s="31">
        <v>762</v>
      </c>
      <c r="BW238" s="31" t="str">
        <f>I238</f>
        <v>21</v>
      </c>
      <c r="BX238" s="4" t="s">
        <v>546</v>
      </c>
    </row>
    <row r="239" spans="1:76" ht="14.35" x14ac:dyDescent="0.5">
      <c r="A239" s="34"/>
      <c r="D239" s="35" t="s">
        <v>547</v>
      </c>
      <c r="E239" s="35" t="s">
        <v>528</v>
      </c>
      <c r="G239" s="36">
        <v>28</v>
      </c>
      <c r="P239" s="37"/>
    </row>
    <row r="240" spans="1:76" ht="14.35" x14ac:dyDescent="0.5">
      <c r="A240" s="34"/>
      <c r="D240" s="35" t="s">
        <v>548</v>
      </c>
      <c r="E240" s="35" t="s">
        <v>549</v>
      </c>
      <c r="G240" s="36">
        <v>2888</v>
      </c>
      <c r="P240" s="37"/>
    </row>
    <row r="241" spans="1:76" ht="14.35" x14ac:dyDescent="0.5">
      <c r="A241" s="2" t="s">
        <v>550</v>
      </c>
      <c r="B241" s="3" t="s">
        <v>49</v>
      </c>
      <c r="C241" s="3" t="s">
        <v>551</v>
      </c>
      <c r="D241" s="72" t="s">
        <v>552</v>
      </c>
      <c r="E241" s="73"/>
      <c r="F241" s="3" t="s">
        <v>553</v>
      </c>
      <c r="G241" s="31">
        <v>2.37</v>
      </c>
      <c r="H241" s="71"/>
      <c r="I241" s="32" t="s">
        <v>56</v>
      </c>
      <c r="J241" s="31">
        <f>G241*AO241</f>
        <v>0</v>
      </c>
      <c r="K241" s="31">
        <f>G241*AP241</f>
        <v>0</v>
      </c>
      <c r="L241" s="31">
        <f>G241*H241</f>
        <v>0</v>
      </c>
      <c r="M241" s="31">
        <f>L241*(1+BW241/100)</f>
        <v>0</v>
      </c>
      <c r="N241" s="31">
        <v>4.5100000000000001E-2</v>
      </c>
      <c r="O241" s="31">
        <f>G241*N241</f>
        <v>0.10688700000000001</v>
      </c>
      <c r="P241" s="33" t="s">
        <v>57</v>
      </c>
      <c r="Z241" s="31">
        <f>IF(AQ241="5",BJ241,0)</f>
        <v>0</v>
      </c>
      <c r="AB241" s="31">
        <f>IF(AQ241="1",BH241,0)</f>
        <v>0</v>
      </c>
      <c r="AC241" s="31">
        <f>IF(AQ241="1",BI241,0)</f>
        <v>0</v>
      </c>
      <c r="AD241" s="31">
        <f>IF(AQ241="7",BH241,0)</f>
        <v>0</v>
      </c>
      <c r="AE241" s="31">
        <f>IF(AQ241="7",BI241,0)</f>
        <v>0</v>
      </c>
      <c r="AF241" s="31">
        <f>IF(AQ241="2",BH241,0)</f>
        <v>0</v>
      </c>
      <c r="AG241" s="31">
        <f>IF(AQ241="2",BI241,0)</f>
        <v>0</v>
      </c>
      <c r="AH241" s="31">
        <f>IF(AQ241="0",BJ241,0)</f>
        <v>0</v>
      </c>
      <c r="AI241" s="12" t="s">
        <v>49</v>
      </c>
      <c r="AJ241" s="31">
        <f>IF(AN241=0,L241,0)</f>
        <v>0</v>
      </c>
      <c r="AK241" s="31">
        <f>IF(AN241=12,L241,0)</f>
        <v>0</v>
      </c>
      <c r="AL241" s="31">
        <f>IF(AN241=21,L241,0)</f>
        <v>0</v>
      </c>
      <c r="AN241" s="31">
        <v>21</v>
      </c>
      <c r="AO241" s="31">
        <f>H241*1</f>
        <v>0</v>
      </c>
      <c r="AP241" s="31">
        <f>H241*(1-1)</f>
        <v>0</v>
      </c>
      <c r="AQ241" s="32" t="s">
        <v>91</v>
      </c>
      <c r="AV241" s="31">
        <f>AW241+AX241</f>
        <v>0</v>
      </c>
      <c r="AW241" s="31">
        <f>G241*AO241</f>
        <v>0</v>
      </c>
      <c r="AX241" s="31">
        <f>G241*AP241</f>
        <v>0</v>
      </c>
      <c r="AY241" s="32" t="s">
        <v>460</v>
      </c>
      <c r="AZ241" s="32" t="s">
        <v>461</v>
      </c>
      <c r="BA241" s="12" t="s">
        <v>60</v>
      </c>
      <c r="BC241" s="31">
        <f>AW241+AX241</f>
        <v>0</v>
      </c>
      <c r="BD241" s="31">
        <f>H241/(100-BE241)*100</f>
        <v>0</v>
      </c>
      <c r="BE241" s="31">
        <v>0</v>
      </c>
      <c r="BF241" s="31">
        <f>O241</f>
        <v>0.10688700000000001</v>
      </c>
      <c r="BH241" s="31">
        <f>G241*AO241</f>
        <v>0</v>
      </c>
      <c r="BI241" s="31">
        <f>G241*AP241</f>
        <v>0</v>
      </c>
      <c r="BJ241" s="31">
        <f>G241*H241</f>
        <v>0</v>
      </c>
      <c r="BK241" s="31"/>
      <c r="BL241" s="31">
        <v>762</v>
      </c>
      <c r="BW241" s="31" t="str">
        <f>I241</f>
        <v>21</v>
      </c>
      <c r="BX241" s="4" t="s">
        <v>552</v>
      </c>
    </row>
    <row r="242" spans="1:76" ht="14.35" x14ac:dyDescent="0.5">
      <c r="A242" s="2" t="s">
        <v>554</v>
      </c>
      <c r="B242" s="3" t="s">
        <v>49</v>
      </c>
      <c r="C242" s="3" t="s">
        <v>555</v>
      </c>
      <c r="D242" s="72" t="s">
        <v>556</v>
      </c>
      <c r="E242" s="73"/>
      <c r="F242" s="3" t="s">
        <v>553</v>
      </c>
      <c r="G242" s="31">
        <v>2.96</v>
      </c>
      <c r="H242" s="71"/>
      <c r="I242" s="32" t="s">
        <v>56</v>
      </c>
      <c r="J242" s="31">
        <f>G242*AO242</f>
        <v>0</v>
      </c>
      <c r="K242" s="31">
        <f>G242*AP242</f>
        <v>0</v>
      </c>
      <c r="L242" s="31">
        <f>G242*H242</f>
        <v>0</v>
      </c>
      <c r="M242" s="31">
        <f>L242*(1+BW242/100)</f>
        <v>0</v>
      </c>
      <c r="N242" s="31">
        <v>9.3700000000000006E-2</v>
      </c>
      <c r="O242" s="31">
        <f>G242*N242</f>
        <v>0.27735199999999999</v>
      </c>
      <c r="P242" s="33" t="s">
        <v>57</v>
      </c>
      <c r="Z242" s="31">
        <f>IF(AQ242="5",BJ242,0)</f>
        <v>0</v>
      </c>
      <c r="AB242" s="31">
        <f>IF(AQ242="1",BH242,0)</f>
        <v>0</v>
      </c>
      <c r="AC242" s="31">
        <f>IF(AQ242="1",BI242,0)</f>
        <v>0</v>
      </c>
      <c r="AD242" s="31">
        <f>IF(AQ242="7",BH242,0)</f>
        <v>0</v>
      </c>
      <c r="AE242" s="31">
        <f>IF(AQ242="7",BI242,0)</f>
        <v>0</v>
      </c>
      <c r="AF242" s="31">
        <f>IF(AQ242="2",BH242,0)</f>
        <v>0</v>
      </c>
      <c r="AG242" s="31">
        <f>IF(AQ242="2",BI242,0)</f>
        <v>0</v>
      </c>
      <c r="AH242" s="31">
        <f>IF(AQ242="0",BJ242,0)</f>
        <v>0</v>
      </c>
      <c r="AI242" s="12" t="s">
        <v>49</v>
      </c>
      <c r="AJ242" s="31">
        <f>IF(AN242=0,L242,0)</f>
        <v>0</v>
      </c>
      <c r="AK242" s="31">
        <f>IF(AN242=12,L242,0)</f>
        <v>0</v>
      </c>
      <c r="AL242" s="31">
        <f>IF(AN242=21,L242,0)</f>
        <v>0</v>
      </c>
      <c r="AN242" s="31">
        <v>21</v>
      </c>
      <c r="AO242" s="31">
        <f>H242*1</f>
        <v>0</v>
      </c>
      <c r="AP242" s="31">
        <f>H242*(1-1)</f>
        <v>0</v>
      </c>
      <c r="AQ242" s="32" t="s">
        <v>91</v>
      </c>
      <c r="AV242" s="31">
        <f>AW242+AX242</f>
        <v>0</v>
      </c>
      <c r="AW242" s="31">
        <f>G242*AO242</f>
        <v>0</v>
      </c>
      <c r="AX242" s="31">
        <f>G242*AP242</f>
        <v>0</v>
      </c>
      <c r="AY242" s="32" t="s">
        <v>460</v>
      </c>
      <c r="AZ242" s="32" t="s">
        <v>461</v>
      </c>
      <c r="BA242" s="12" t="s">
        <v>60</v>
      </c>
      <c r="BC242" s="31">
        <f>AW242+AX242</f>
        <v>0</v>
      </c>
      <c r="BD242" s="31">
        <f>H242/(100-BE242)*100</f>
        <v>0</v>
      </c>
      <c r="BE242" s="31">
        <v>0</v>
      </c>
      <c r="BF242" s="31">
        <f>O242</f>
        <v>0.27735199999999999</v>
      </c>
      <c r="BH242" s="31">
        <f>G242*AO242</f>
        <v>0</v>
      </c>
      <c r="BI242" s="31">
        <f>G242*AP242</f>
        <v>0</v>
      </c>
      <c r="BJ242" s="31">
        <f>G242*H242</f>
        <v>0</v>
      </c>
      <c r="BK242" s="31"/>
      <c r="BL242" s="31">
        <v>762</v>
      </c>
      <c r="BW242" s="31" t="str">
        <f>I242</f>
        <v>21</v>
      </c>
      <c r="BX242" s="4" t="s">
        <v>556</v>
      </c>
    </row>
    <row r="243" spans="1:76" ht="14.35" x14ac:dyDescent="0.5">
      <c r="A243" s="2" t="s">
        <v>557</v>
      </c>
      <c r="B243" s="3" t="s">
        <v>49</v>
      </c>
      <c r="C243" s="3" t="s">
        <v>558</v>
      </c>
      <c r="D243" s="72" t="s">
        <v>559</v>
      </c>
      <c r="E243" s="73"/>
      <c r="F243" s="3" t="s">
        <v>150</v>
      </c>
      <c r="G243" s="31">
        <v>415.45</v>
      </c>
      <c r="H243" s="71"/>
      <c r="I243" s="32" t="s">
        <v>56</v>
      </c>
      <c r="J243" s="31">
        <f>G243*AO243</f>
        <v>0</v>
      </c>
      <c r="K243" s="31">
        <f>G243*AP243</f>
        <v>0</v>
      </c>
      <c r="L243" s="31">
        <f>G243*H243</f>
        <v>0</v>
      </c>
      <c r="M243" s="31">
        <f>L243*(1+BW243/100)</f>
        <v>0</v>
      </c>
      <c r="N243" s="31">
        <v>7.2000000000000005E-4</v>
      </c>
      <c r="O243" s="31">
        <f>G243*N243</f>
        <v>0.299124</v>
      </c>
      <c r="P243" s="33" t="s">
        <v>57</v>
      </c>
      <c r="Z243" s="31">
        <f>IF(AQ243="5",BJ243,0)</f>
        <v>0</v>
      </c>
      <c r="AB243" s="31">
        <f>IF(AQ243="1",BH243,0)</f>
        <v>0</v>
      </c>
      <c r="AC243" s="31">
        <f>IF(AQ243="1",BI243,0)</f>
        <v>0</v>
      </c>
      <c r="AD243" s="31">
        <f>IF(AQ243="7",BH243,0)</f>
        <v>0</v>
      </c>
      <c r="AE243" s="31">
        <f>IF(AQ243="7",BI243,0)</f>
        <v>0</v>
      </c>
      <c r="AF243" s="31">
        <f>IF(AQ243="2",BH243,0)</f>
        <v>0</v>
      </c>
      <c r="AG243" s="31">
        <f>IF(AQ243="2",BI243,0)</f>
        <v>0</v>
      </c>
      <c r="AH243" s="31">
        <f>IF(AQ243="0",BJ243,0)</f>
        <v>0</v>
      </c>
      <c r="AI243" s="12" t="s">
        <v>49</v>
      </c>
      <c r="AJ243" s="31">
        <f>IF(AN243=0,L243,0)</f>
        <v>0</v>
      </c>
      <c r="AK243" s="31">
        <f>IF(AN243=12,L243,0)</f>
        <v>0</v>
      </c>
      <c r="AL243" s="31">
        <f>IF(AN243=21,L243,0)</f>
        <v>0</v>
      </c>
      <c r="AN243" s="31">
        <v>21</v>
      </c>
      <c r="AO243" s="31">
        <f>H243*1</f>
        <v>0</v>
      </c>
      <c r="AP243" s="31">
        <f>H243*(1-1)</f>
        <v>0</v>
      </c>
      <c r="AQ243" s="32" t="s">
        <v>91</v>
      </c>
      <c r="AV243" s="31">
        <f>AW243+AX243</f>
        <v>0</v>
      </c>
      <c r="AW243" s="31">
        <f>G243*AO243</f>
        <v>0</v>
      </c>
      <c r="AX243" s="31">
        <f>G243*AP243</f>
        <v>0</v>
      </c>
      <c r="AY243" s="32" t="s">
        <v>460</v>
      </c>
      <c r="AZ243" s="32" t="s">
        <v>461</v>
      </c>
      <c r="BA243" s="12" t="s">
        <v>60</v>
      </c>
      <c r="BC243" s="31">
        <f>AW243+AX243</f>
        <v>0</v>
      </c>
      <c r="BD243" s="31">
        <f>H243/(100-BE243)*100</f>
        <v>0</v>
      </c>
      <c r="BE243" s="31">
        <v>0</v>
      </c>
      <c r="BF243" s="31">
        <f>O243</f>
        <v>0.299124</v>
      </c>
      <c r="BH243" s="31">
        <f>G243*AO243</f>
        <v>0</v>
      </c>
      <c r="BI243" s="31">
        <f>G243*AP243</f>
        <v>0</v>
      </c>
      <c r="BJ243" s="31">
        <f>G243*H243</f>
        <v>0</v>
      </c>
      <c r="BK243" s="31"/>
      <c r="BL243" s="31">
        <v>762</v>
      </c>
      <c r="BW243" s="31" t="str">
        <f>I243</f>
        <v>21</v>
      </c>
      <c r="BX243" s="4" t="s">
        <v>559</v>
      </c>
    </row>
    <row r="244" spans="1:76" ht="14.35" x14ac:dyDescent="0.5">
      <c r="A244" s="34"/>
      <c r="D244" s="35" t="s">
        <v>560</v>
      </c>
      <c r="E244" s="35" t="s">
        <v>49</v>
      </c>
      <c r="G244" s="36">
        <v>395.67</v>
      </c>
      <c r="P244" s="37"/>
    </row>
    <row r="245" spans="1:76" ht="14.35" x14ac:dyDescent="0.5">
      <c r="A245" s="34"/>
      <c r="D245" s="35" t="s">
        <v>561</v>
      </c>
      <c r="E245" s="35" t="s">
        <v>49</v>
      </c>
      <c r="G245" s="36">
        <v>19.78</v>
      </c>
      <c r="P245" s="37"/>
    </row>
    <row r="246" spans="1:76" ht="14.35" x14ac:dyDescent="0.5">
      <c r="A246" s="2" t="s">
        <v>562</v>
      </c>
      <c r="B246" s="3" t="s">
        <v>49</v>
      </c>
      <c r="C246" s="3" t="s">
        <v>563</v>
      </c>
      <c r="D246" s="72" t="s">
        <v>564</v>
      </c>
      <c r="E246" s="73"/>
      <c r="F246" s="3" t="s">
        <v>150</v>
      </c>
      <c r="G246" s="31">
        <v>510.3</v>
      </c>
      <c r="H246" s="71"/>
      <c r="I246" s="32" t="s">
        <v>56</v>
      </c>
      <c r="J246" s="31">
        <f>G246*AO246</f>
        <v>0</v>
      </c>
      <c r="K246" s="31">
        <f>G246*AP246</f>
        <v>0</v>
      </c>
      <c r="L246" s="31">
        <f>G246*H246</f>
        <v>0</v>
      </c>
      <c r="M246" s="31">
        <f>L246*(1+BW246/100)</f>
        <v>0</v>
      </c>
      <c r="N246" s="31">
        <v>1.33E-3</v>
      </c>
      <c r="O246" s="31">
        <f>G246*N246</f>
        <v>0.67869900000000005</v>
      </c>
      <c r="P246" s="33" t="s">
        <v>57</v>
      </c>
      <c r="Z246" s="31">
        <f>IF(AQ246="5",BJ246,0)</f>
        <v>0</v>
      </c>
      <c r="AB246" s="31">
        <f>IF(AQ246="1",BH246,0)</f>
        <v>0</v>
      </c>
      <c r="AC246" s="31">
        <f>IF(AQ246="1",BI246,0)</f>
        <v>0</v>
      </c>
      <c r="AD246" s="31">
        <f>IF(AQ246="7",BH246,0)</f>
        <v>0</v>
      </c>
      <c r="AE246" s="31">
        <f>IF(AQ246="7",BI246,0)</f>
        <v>0</v>
      </c>
      <c r="AF246" s="31">
        <f>IF(AQ246="2",BH246,0)</f>
        <v>0</v>
      </c>
      <c r="AG246" s="31">
        <f>IF(AQ246="2",BI246,0)</f>
        <v>0</v>
      </c>
      <c r="AH246" s="31">
        <f>IF(AQ246="0",BJ246,0)</f>
        <v>0</v>
      </c>
      <c r="AI246" s="12" t="s">
        <v>49</v>
      </c>
      <c r="AJ246" s="31">
        <f>IF(AN246=0,L246,0)</f>
        <v>0</v>
      </c>
      <c r="AK246" s="31">
        <f>IF(AN246=12,L246,0)</f>
        <v>0</v>
      </c>
      <c r="AL246" s="31">
        <f>IF(AN246=21,L246,0)</f>
        <v>0</v>
      </c>
      <c r="AN246" s="31">
        <v>21</v>
      </c>
      <c r="AO246" s="31">
        <f>H246*1</f>
        <v>0</v>
      </c>
      <c r="AP246" s="31">
        <f>H246*(1-1)</f>
        <v>0</v>
      </c>
      <c r="AQ246" s="32" t="s">
        <v>91</v>
      </c>
      <c r="AV246" s="31">
        <f>AW246+AX246</f>
        <v>0</v>
      </c>
      <c r="AW246" s="31">
        <f>G246*AO246</f>
        <v>0</v>
      </c>
      <c r="AX246" s="31">
        <f>G246*AP246</f>
        <v>0</v>
      </c>
      <c r="AY246" s="32" t="s">
        <v>460</v>
      </c>
      <c r="AZ246" s="32" t="s">
        <v>461</v>
      </c>
      <c r="BA246" s="12" t="s">
        <v>60</v>
      </c>
      <c r="BC246" s="31">
        <f>AW246+AX246</f>
        <v>0</v>
      </c>
      <c r="BD246" s="31">
        <f>H246/(100-BE246)*100</f>
        <v>0</v>
      </c>
      <c r="BE246" s="31">
        <v>0</v>
      </c>
      <c r="BF246" s="31">
        <f>O246</f>
        <v>0.67869900000000005</v>
      </c>
      <c r="BH246" s="31">
        <f>G246*AO246</f>
        <v>0</v>
      </c>
      <c r="BI246" s="31">
        <f>G246*AP246</f>
        <v>0</v>
      </c>
      <c r="BJ246" s="31">
        <f>G246*H246</f>
        <v>0</v>
      </c>
      <c r="BK246" s="31"/>
      <c r="BL246" s="31">
        <v>762</v>
      </c>
      <c r="BW246" s="31" t="str">
        <f>I246</f>
        <v>21</v>
      </c>
      <c r="BX246" s="4" t="s">
        <v>564</v>
      </c>
    </row>
    <row r="247" spans="1:76" ht="14.35" x14ac:dyDescent="0.5">
      <c r="A247" s="34"/>
      <c r="D247" s="35" t="s">
        <v>565</v>
      </c>
      <c r="E247" s="35" t="s">
        <v>49</v>
      </c>
      <c r="G247" s="36">
        <v>486</v>
      </c>
      <c r="P247" s="37"/>
    </row>
    <row r="248" spans="1:76" ht="14.35" x14ac:dyDescent="0.5">
      <c r="A248" s="34"/>
      <c r="D248" s="35" t="s">
        <v>566</v>
      </c>
      <c r="E248" s="35" t="s">
        <v>49</v>
      </c>
      <c r="G248" s="36">
        <v>24.3</v>
      </c>
      <c r="P248" s="37"/>
    </row>
    <row r="249" spans="1:76" ht="14.35" x14ac:dyDescent="0.5">
      <c r="A249" s="2" t="s">
        <v>567</v>
      </c>
      <c r="B249" s="3" t="s">
        <v>49</v>
      </c>
      <c r="C249" s="3" t="s">
        <v>568</v>
      </c>
      <c r="D249" s="72" t="s">
        <v>569</v>
      </c>
      <c r="E249" s="73"/>
      <c r="F249" s="3" t="s">
        <v>150</v>
      </c>
      <c r="G249" s="31">
        <v>43</v>
      </c>
      <c r="H249" s="71"/>
      <c r="I249" s="32" t="s">
        <v>56</v>
      </c>
      <c r="J249" s="31">
        <f>G249*AO249</f>
        <v>0</v>
      </c>
      <c r="K249" s="31">
        <f>G249*AP249</f>
        <v>0</v>
      </c>
      <c r="L249" s="31">
        <f>G249*H249</f>
        <v>0</v>
      </c>
      <c r="M249" s="31">
        <f>L249*(1+BW249/100)</f>
        <v>0</v>
      </c>
      <c r="N249" s="31">
        <v>8.0000000000000002E-3</v>
      </c>
      <c r="O249" s="31">
        <f>G249*N249</f>
        <v>0.34400000000000003</v>
      </c>
      <c r="P249" s="33" t="s">
        <v>57</v>
      </c>
      <c r="Z249" s="31">
        <f>IF(AQ249="5",BJ249,0)</f>
        <v>0</v>
      </c>
      <c r="AB249" s="31">
        <f>IF(AQ249="1",BH249,0)</f>
        <v>0</v>
      </c>
      <c r="AC249" s="31">
        <f>IF(AQ249="1",BI249,0)</f>
        <v>0</v>
      </c>
      <c r="AD249" s="31">
        <f>IF(AQ249="7",BH249,0)</f>
        <v>0</v>
      </c>
      <c r="AE249" s="31">
        <f>IF(AQ249="7",BI249,0)</f>
        <v>0</v>
      </c>
      <c r="AF249" s="31">
        <f>IF(AQ249="2",BH249,0)</f>
        <v>0</v>
      </c>
      <c r="AG249" s="31">
        <f>IF(AQ249="2",BI249,0)</f>
        <v>0</v>
      </c>
      <c r="AH249" s="31">
        <f>IF(AQ249="0",BJ249,0)</f>
        <v>0</v>
      </c>
      <c r="AI249" s="12" t="s">
        <v>49</v>
      </c>
      <c r="AJ249" s="31">
        <f>IF(AN249=0,L249,0)</f>
        <v>0</v>
      </c>
      <c r="AK249" s="31">
        <f>IF(AN249=12,L249,0)</f>
        <v>0</v>
      </c>
      <c r="AL249" s="31">
        <f>IF(AN249=21,L249,0)</f>
        <v>0</v>
      </c>
      <c r="AN249" s="31">
        <v>21</v>
      </c>
      <c r="AO249" s="31">
        <f>H249*0</f>
        <v>0</v>
      </c>
      <c r="AP249" s="31">
        <f>H249*(1-0)</f>
        <v>0</v>
      </c>
      <c r="AQ249" s="32" t="s">
        <v>91</v>
      </c>
      <c r="AV249" s="31">
        <f>AW249+AX249</f>
        <v>0</v>
      </c>
      <c r="AW249" s="31">
        <f>G249*AO249</f>
        <v>0</v>
      </c>
      <c r="AX249" s="31">
        <f>G249*AP249</f>
        <v>0</v>
      </c>
      <c r="AY249" s="32" t="s">
        <v>460</v>
      </c>
      <c r="AZ249" s="32" t="s">
        <v>461</v>
      </c>
      <c r="BA249" s="12" t="s">
        <v>60</v>
      </c>
      <c r="BC249" s="31">
        <f>AW249+AX249</f>
        <v>0</v>
      </c>
      <c r="BD249" s="31">
        <f>H249/(100-BE249)*100</f>
        <v>0</v>
      </c>
      <c r="BE249" s="31">
        <v>0</v>
      </c>
      <c r="BF249" s="31">
        <f>O249</f>
        <v>0.34400000000000003</v>
      </c>
      <c r="BH249" s="31">
        <f>G249*AO249</f>
        <v>0</v>
      </c>
      <c r="BI249" s="31">
        <f>G249*AP249</f>
        <v>0</v>
      </c>
      <c r="BJ249" s="31">
        <f>G249*H249</f>
        <v>0</v>
      </c>
      <c r="BK249" s="31"/>
      <c r="BL249" s="31">
        <v>762</v>
      </c>
      <c r="BW249" s="31" t="str">
        <f>I249</f>
        <v>21</v>
      </c>
      <c r="BX249" s="4" t="s">
        <v>569</v>
      </c>
    </row>
    <row r="250" spans="1:76" ht="14.35" x14ac:dyDescent="0.5">
      <c r="A250" s="34"/>
      <c r="D250" s="35" t="s">
        <v>570</v>
      </c>
      <c r="E250" s="35" t="s">
        <v>571</v>
      </c>
      <c r="G250" s="36">
        <v>27</v>
      </c>
      <c r="P250" s="37"/>
    </row>
    <row r="251" spans="1:76" ht="14.35" x14ac:dyDescent="0.5">
      <c r="A251" s="34"/>
      <c r="D251" s="35" t="s">
        <v>572</v>
      </c>
      <c r="E251" s="35" t="s">
        <v>573</v>
      </c>
      <c r="G251" s="36">
        <v>16</v>
      </c>
      <c r="P251" s="37"/>
    </row>
    <row r="252" spans="1:76" ht="14.35" x14ac:dyDescent="0.5">
      <c r="A252" s="2" t="s">
        <v>574</v>
      </c>
      <c r="B252" s="3" t="s">
        <v>49</v>
      </c>
      <c r="C252" s="3" t="s">
        <v>575</v>
      </c>
      <c r="D252" s="72" t="s">
        <v>576</v>
      </c>
      <c r="E252" s="73"/>
      <c r="F252" s="3" t="s">
        <v>150</v>
      </c>
      <c r="G252" s="31">
        <v>1.6</v>
      </c>
      <c r="H252" s="71"/>
      <c r="I252" s="32" t="s">
        <v>56</v>
      </c>
      <c r="J252" s="31">
        <f>G252*AO252</f>
        <v>0</v>
      </c>
      <c r="K252" s="31">
        <f>G252*AP252</f>
        <v>0</v>
      </c>
      <c r="L252" s="31">
        <f>G252*H252</f>
        <v>0</v>
      </c>
      <c r="M252" s="31">
        <f>L252*(1+BW252/100)</f>
        <v>0</v>
      </c>
      <c r="N252" s="31">
        <v>1.4E-2</v>
      </c>
      <c r="O252" s="31">
        <f>G252*N252</f>
        <v>2.2400000000000003E-2</v>
      </c>
      <c r="P252" s="33" t="s">
        <v>57</v>
      </c>
      <c r="Z252" s="31">
        <f>IF(AQ252="5",BJ252,0)</f>
        <v>0</v>
      </c>
      <c r="AB252" s="31">
        <f>IF(AQ252="1",BH252,0)</f>
        <v>0</v>
      </c>
      <c r="AC252" s="31">
        <f>IF(AQ252="1",BI252,0)</f>
        <v>0</v>
      </c>
      <c r="AD252" s="31">
        <f>IF(AQ252="7",BH252,0)</f>
        <v>0</v>
      </c>
      <c r="AE252" s="31">
        <f>IF(AQ252="7",BI252,0)</f>
        <v>0</v>
      </c>
      <c r="AF252" s="31">
        <f>IF(AQ252="2",BH252,0)</f>
        <v>0</v>
      </c>
      <c r="AG252" s="31">
        <f>IF(AQ252="2",BI252,0)</f>
        <v>0</v>
      </c>
      <c r="AH252" s="31">
        <f>IF(AQ252="0",BJ252,0)</f>
        <v>0</v>
      </c>
      <c r="AI252" s="12" t="s">
        <v>49</v>
      </c>
      <c r="AJ252" s="31">
        <f>IF(AN252=0,L252,0)</f>
        <v>0</v>
      </c>
      <c r="AK252" s="31">
        <f>IF(AN252=12,L252,0)</f>
        <v>0</v>
      </c>
      <c r="AL252" s="31">
        <f>IF(AN252=21,L252,0)</f>
        <v>0</v>
      </c>
      <c r="AN252" s="31">
        <v>21</v>
      </c>
      <c r="AO252" s="31">
        <f>H252*0</f>
        <v>0</v>
      </c>
      <c r="AP252" s="31">
        <f>H252*(1-0)</f>
        <v>0</v>
      </c>
      <c r="AQ252" s="32" t="s">
        <v>91</v>
      </c>
      <c r="AV252" s="31">
        <f>AW252+AX252</f>
        <v>0</v>
      </c>
      <c r="AW252" s="31">
        <f>G252*AO252</f>
        <v>0</v>
      </c>
      <c r="AX252" s="31">
        <f>G252*AP252</f>
        <v>0</v>
      </c>
      <c r="AY252" s="32" t="s">
        <v>460</v>
      </c>
      <c r="AZ252" s="32" t="s">
        <v>461</v>
      </c>
      <c r="BA252" s="12" t="s">
        <v>60</v>
      </c>
      <c r="BC252" s="31">
        <f>AW252+AX252</f>
        <v>0</v>
      </c>
      <c r="BD252" s="31">
        <f>H252/(100-BE252)*100</f>
        <v>0</v>
      </c>
      <c r="BE252" s="31">
        <v>0</v>
      </c>
      <c r="BF252" s="31">
        <f>O252</f>
        <v>2.2400000000000003E-2</v>
      </c>
      <c r="BH252" s="31">
        <f>G252*AO252</f>
        <v>0</v>
      </c>
      <c r="BI252" s="31">
        <f>G252*AP252</f>
        <v>0</v>
      </c>
      <c r="BJ252" s="31">
        <f>G252*H252</f>
        <v>0</v>
      </c>
      <c r="BK252" s="31"/>
      <c r="BL252" s="31">
        <v>762</v>
      </c>
      <c r="BW252" s="31" t="str">
        <f>I252</f>
        <v>21</v>
      </c>
      <c r="BX252" s="4" t="s">
        <v>576</v>
      </c>
    </row>
    <row r="253" spans="1:76" ht="14.35" x14ac:dyDescent="0.5">
      <c r="A253" s="34"/>
      <c r="D253" s="35" t="s">
        <v>577</v>
      </c>
      <c r="E253" s="35" t="s">
        <v>578</v>
      </c>
      <c r="G253" s="36">
        <v>1.6</v>
      </c>
      <c r="P253" s="37"/>
    </row>
    <row r="254" spans="1:76" ht="14.35" x14ac:dyDescent="0.5">
      <c r="A254" s="2" t="s">
        <v>579</v>
      </c>
      <c r="B254" s="3" t="s">
        <v>49</v>
      </c>
      <c r="C254" s="3" t="s">
        <v>580</v>
      </c>
      <c r="D254" s="72" t="s">
        <v>581</v>
      </c>
      <c r="E254" s="73"/>
      <c r="F254" s="3" t="s">
        <v>150</v>
      </c>
      <c r="G254" s="31">
        <v>648.4</v>
      </c>
      <c r="H254" s="71"/>
      <c r="I254" s="32" t="s">
        <v>56</v>
      </c>
      <c r="J254" s="31">
        <f>G254*AO254</f>
        <v>0</v>
      </c>
      <c r="K254" s="31">
        <f>G254*AP254</f>
        <v>0</v>
      </c>
      <c r="L254" s="31">
        <f>G254*H254</f>
        <v>0</v>
      </c>
      <c r="M254" s="31">
        <f>L254*(1+BW254/100)</f>
        <v>0</v>
      </c>
      <c r="N254" s="31">
        <v>2.4E-2</v>
      </c>
      <c r="O254" s="31">
        <f>G254*N254</f>
        <v>15.5616</v>
      </c>
      <c r="P254" s="33" t="s">
        <v>57</v>
      </c>
      <c r="Z254" s="31">
        <f>IF(AQ254="5",BJ254,0)</f>
        <v>0</v>
      </c>
      <c r="AB254" s="31">
        <f>IF(AQ254="1",BH254,0)</f>
        <v>0</v>
      </c>
      <c r="AC254" s="31">
        <f>IF(AQ254="1",BI254,0)</f>
        <v>0</v>
      </c>
      <c r="AD254" s="31">
        <f>IF(AQ254="7",BH254,0)</f>
        <v>0</v>
      </c>
      <c r="AE254" s="31">
        <f>IF(AQ254="7",BI254,0)</f>
        <v>0</v>
      </c>
      <c r="AF254" s="31">
        <f>IF(AQ254="2",BH254,0)</f>
        <v>0</v>
      </c>
      <c r="AG254" s="31">
        <f>IF(AQ254="2",BI254,0)</f>
        <v>0</v>
      </c>
      <c r="AH254" s="31">
        <f>IF(AQ254="0",BJ254,0)</f>
        <v>0</v>
      </c>
      <c r="AI254" s="12" t="s">
        <v>49</v>
      </c>
      <c r="AJ254" s="31">
        <f>IF(AN254=0,L254,0)</f>
        <v>0</v>
      </c>
      <c r="AK254" s="31">
        <f>IF(AN254=12,L254,0)</f>
        <v>0</v>
      </c>
      <c r="AL254" s="31">
        <f>IF(AN254=21,L254,0)</f>
        <v>0</v>
      </c>
      <c r="AN254" s="31">
        <v>21</v>
      </c>
      <c r="AO254" s="31">
        <f>H254*0</f>
        <v>0</v>
      </c>
      <c r="AP254" s="31">
        <f>H254*(1-0)</f>
        <v>0</v>
      </c>
      <c r="AQ254" s="32" t="s">
        <v>91</v>
      </c>
      <c r="AV254" s="31">
        <f>AW254+AX254</f>
        <v>0</v>
      </c>
      <c r="AW254" s="31">
        <f>G254*AO254</f>
        <v>0</v>
      </c>
      <c r="AX254" s="31">
        <f>G254*AP254</f>
        <v>0</v>
      </c>
      <c r="AY254" s="32" t="s">
        <v>460</v>
      </c>
      <c r="AZ254" s="32" t="s">
        <v>461</v>
      </c>
      <c r="BA254" s="12" t="s">
        <v>60</v>
      </c>
      <c r="BC254" s="31">
        <f>AW254+AX254</f>
        <v>0</v>
      </c>
      <c r="BD254" s="31">
        <f>H254/(100-BE254)*100</f>
        <v>0</v>
      </c>
      <c r="BE254" s="31">
        <v>0</v>
      </c>
      <c r="BF254" s="31">
        <f>O254</f>
        <v>15.5616</v>
      </c>
      <c r="BH254" s="31">
        <f>G254*AO254</f>
        <v>0</v>
      </c>
      <c r="BI254" s="31">
        <f>G254*AP254</f>
        <v>0</v>
      </c>
      <c r="BJ254" s="31">
        <f>G254*H254</f>
        <v>0</v>
      </c>
      <c r="BK254" s="31"/>
      <c r="BL254" s="31">
        <v>762</v>
      </c>
      <c r="BW254" s="31" t="str">
        <f>I254</f>
        <v>21</v>
      </c>
      <c r="BX254" s="4" t="s">
        <v>581</v>
      </c>
    </row>
    <row r="255" spans="1:76" ht="14.35" x14ac:dyDescent="0.5">
      <c r="A255" s="34"/>
      <c r="D255" s="35" t="s">
        <v>582</v>
      </c>
      <c r="E255" s="35" t="s">
        <v>583</v>
      </c>
      <c r="G255" s="36">
        <v>12.8</v>
      </c>
      <c r="P255" s="37"/>
    </row>
    <row r="256" spans="1:76" ht="14.35" x14ac:dyDescent="0.5">
      <c r="A256" s="34"/>
      <c r="D256" s="35" t="s">
        <v>584</v>
      </c>
      <c r="E256" s="35" t="s">
        <v>585</v>
      </c>
      <c r="G256" s="36">
        <v>33</v>
      </c>
      <c r="P256" s="37"/>
    </row>
    <row r="257" spans="1:76" ht="14.35" x14ac:dyDescent="0.5">
      <c r="A257" s="34"/>
      <c r="D257" s="35" t="s">
        <v>586</v>
      </c>
      <c r="E257" s="35" t="s">
        <v>587</v>
      </c>
      <c r="G257" s="36">
        <v>46</v>
      </c>
      <c r="P257" s="37"/>
    </row>
    <row r="258" spans="1:76" ht="14.35" x14ac:dyDescent="0.5">
      <c r="A258" s="34"/>
      <c r="D258" s="35" t="s">
        <v>588</v>
      </c>
      <c r="E258" s="35" t="s">
        <v>589</v>
      </c>
      <c r="G258" s="36">
        <v>14.15</v>
      </c>
      <c r="P258" s="37"/>
    </row>
    <row r="259" spans="1:76" ht="14.35" x14ac:dyDescent="0.5">
      <c r="A259" s="34"/>
      <c r="D259" s="35" t="s">
        <v>590</v>
      </c>
      <c r="E259" s="35" t="s">
        <v>591</v>
      </c>
      <c r="G259" s="36">
        <v>5.35</v>
      </c>
      <c r="P259" s="37"/>
    </row>
    <row r="260" spans="1:76" ht="14.35" x14ac:dyDescent="0.5">
      <c r="A260" s="34"/>
      <c r="D260" s="35" t="s">
        <v>592</v>
      </c>
      <c r="E260" s="35" t="s">
        <v>593</v>
      </c>
      <c r="G260" s="36">
        <v>161.5</v>
      </c>
      <c r="P260" s="37"/>
    </row>
    <row r="261" spans="1:76" ht="14.35" x14ac:dyDescent="0.5">
      <c r="A261" s="34"/>
      <c r="D261" s="35" t="s">
        <v>594</v>
      </c>
      <c r="E261" s="35" t="s">
        <v>595</v>
      </c>
      <c r="G261" s="36">
        <v>365</v>
      </c>
      <c r="P261" s="37"/>
    </row>
    <row r="262" spans="1:76" ht="14.35" x14ac:dyDescent="0.5">
      <c r="A262" s="34"/>
      <c r="D262" s="35" t="s">
        <v>596</v>
      </c>
      <c r="E262" s="35" t="s">
        <v>597</v>
      </c>
      <c r="G262" s="36">
        <v>10.6</v>
      </c>
      <c r="P262" s="37"/>
    </row>
    <row r="263" spans="1:76" ht="14.35" x14ac:dyDescent="0.5">
      <c r="A263" s="2" t="s">
        <v>598</v>
      </c>
      <c r="B263" s="3" t="s">
        <v>49</v>
      </c>
      <c r="C263" s="3" t="s">
        <v>599</v>
      </c>
      <c r="D263" s="72" t="s">
        <v>600</v>
      </c>
      <c r="E263" s="73"/>
      <c r="F263" s="3" t="s">
        <v>150</v>
      </c>
      <c r="G263" s="31">
        <v>67.5</v>
      </c>
      <c r="H263" s="71"/>
      <c r="I263" s="32" t="s">
        <v>56</v>
      </c>
      <c r="J263" s="31">
        <f>G263*AO263</f>
        <v>0</v>
      </c>
      <c r="K263" s="31">
        <f>G263*AP263</f>
        <v>0</v>
      </c>
      <c r="L263" s="31">
        <f>G263*H263</f>
        <v>0</v>
      </c>
      <c r="M263" s="31">
        <f>L263*(1+BW263/100)</f>
        <v>0</v>
      </c>
      <c r="N263" s="31">
        <v>1.248E-2</v>
      </c>
      <c r="O263" s="31">
        <f>G263*N263</f>
        <v>0.84240000000000004</v>
      </c>
      <c r="P263" s="33" t="s">
        <v>57</v>
      </c>
      <c r="Z263" s="31">
        <f>IF(AQ263="5",BJ263,0)</f>
        <v>0</v>
      </c>
      <c r="AB263" s="31">
        <f>IF(AQ263="1",BH263,0)</f>
        <v>0</v>
      </c>
      <c r="AC263" s="31">
        <f>IF(AQ263="1",BI263,0)</f>
        <v>0</v>
      </c>
      <c r="AD263" s="31">
        <f>IF(AQ263="7",BH263,0)</f>
        <v>0</v>
      </c>
      <c r="AE263" s="31">
        <f>IF(AQ263="7",BI263,0)</f>
        <v>0</v>
      </c>
      <c r="AF263" s="31">
        <f>IF(AQ263="2",BH263,0)</f>
        <v>0</v>
      </c>
      <c r="AG263" s="31">
        <f>IF(AQ263="2",BI263,0)</f>
        <v>0</v>
      </c>
      <c r="AH263" s="31">
        <f>IF(AQ263="0",BJ263,0)</f>
        <v>0</v>
      </c>
      <c r="AI263" s="12" t="s">
        <v>49</v>
      </c>
      <c r="AJ263" s="31">
        <f>IF(AN263=0,L263,0)</f>
        <v>0</v>
      </c>
      <c r="AK263" s="31">
        <f>IF(AN263=12,L263,0)</f>
        <v>0</v>
      </c>
      <c r="AL263" s="31">
        <f>IF(AN263=21,L263,0)</f>
        <v>0</v>
      </c>
      <c r="AN263" s="31">
        <v>21</v>
      </c>
      <c r="AO263" s="31">
        <f>H263*0.02030303</f>
        <v>0</v>
      </c>
      <c r="AP263" s="31">
        <f>H263*(1-0.02030303)</f>
        <v>0</v>
      </c>
      <c r="AQ263" s="32" t="s">
        <v>91</v>
      </c>
      <c r="AV263" s="31">
        <f>AW263+AX263</f>
        <v>0</v>
      </c>
      <c r="AW263" s="31">
        <f>G263*AO263</f>
        <v>0</v>
      </c>
      <c r="AX263" s="31">
        <f>G263*AP263</f>
        <v>0</v>
      </c>
      <c r="AY263" s="32" t="s">
        <v>460</v>
      </c>
      <c r="AZ263" s="32" t="s">
        <v>461</v>
      </c>
      <c r="BA263" s="12" t="s">
        <v>60</v>
      </c>
      <c r="BC263" s="31">
        <f>AW263+AX263</f>
        <v>0</v>
      </c>
      <c r="BD263" s="31">
        <f>H263/(100-BE263)*100</f>
        <v>0</v>
      </c>
      <c r="BE263" s="31">
        <v>0</v>
      </c>
      <c r="BF263" s="31">
        <f>O263</f>
        <v>0.84240000000000004</v>
      </c>
      <c r="BH263" s="31">
        <f>G263*AO263</f>
        <v>0</v>
      </c>
      <c r="BI263" s="31">
        <f>G263*AP263</f>
        <v>0</v>
      </c>
      <c r="BJ263" s="31">
        <f>G263*H263</f>
        <v>0</v>
      </c>
      <c r="BK263" s="31"/>
      <c r="BL263" s="31">
        <v>762</v>
      </c>
      <c r="BW263" s="31" t="str">
        <f>I263</f>
        <v>21</v>
      </c>
      <c r="BX263" s="4" t="s">
        <v>600</v>
      </c>
    </row>
    <row r="264" spans="1:76" ht="14.35" x14ac:dyDescent="0.5">
      <c r="A264" s="34"/>
      <c r="D264" s="35" t="s">
        <v>601</v>
      </c>
      <c r="E264" s="35" t="s">
        <v>602</v>
      </c>
      <c r="G264" s="36">
        <v>67.5</v>
      </c>
      <c r="P264" s="37"/>
    </row>
    <row r="265" spans="1:76" ht="14.35" x14ac:dyDescent="0.5">
      <c r="A265" s="2" t="s">
        <v>603</v>
      </c>
      <c r="B265" s="3" t="s">
        <v>49</v>
      </c>
      <c r="C265" s="3" t="s">
        <v>604</v>
      </c>
      <c r="D265" s="72" t="s">
        <v>605</v>
      </c>
      <c r="E265" s="73"/>
      <c r="F265" s="3" t="s">
        <v>150</v>
      </c>
      <c r="G265" s="31">
        <v>101</v>
      </c>
      <c r="H265" s="71"/>
      <c r="I265" s="32" t="s">
        <v>56</v>
      </c>
      <c r="J265" s="31">
        <f>G265*AO265</f>
        <v>0</v>
      </c>
      <c r="K265" s="31">
        <f>G265*AP265</f>
        <v>0</v>
      </c>
      <c r="L265" s="31">
        <f>G265*H265</f>
        <v>0</v>
      </c>
      <c r="M265" s="31">
        <f>L265*(1+BW265/100)</f>
        <v>0</v>
      </c>
      <c r="N265" s="31">
        <v>1.6E-2</v>
      </c>
      <c r="O265" s="31">
        <f>G265*N265</f>
        <v>1.6160000000000001</v>
      </c>
      <c r="P265" s="33" t="s">
        <v>57</v>
      </c>
      <c r="Z265" s="31">
        <f>IF(AQ265="5",BJ265,0)</f>
        <v>0</v>
      </c>
      <c r="AB265" s="31">
        <f>IF(AQ265="1",BH265,0)</f>
        <v>0</v>
      </c>
      <c r="AC265" s="31">
        <f>IF(AQ265="1",BI265,0)</f>
        <v>0</v>
      </c>
      <c r="AD265" s="31">
        <f>IF(AQ265="7",BH265,0)</f>
        <v>0</v>
      </c>
      <c r="AE265" s="31">
        <f>IF(AQ265="7",BI265,0)</f>
        <v>0</v>
      </c>
      <c r="AF265" s="31">
        <f>IF(AQ265="2",BH265,0)</f>
        <v>0</v>
      </c>
      <c r="AG265" s="31">
        <f>IF(AQ265="2",BI265,0)</f>
        <v>0</v>
      </c>
      <c r="AH265" s="31">
        <f>IF(AQ265="0",BJ265,0)</f>
        <v>0</v>
      </c>
      <c r="AI265" s="12" t="s">
        <v>49</v>
      </c>
      <c r="AJ265" s="31">
        <f>IF(AN265=0,L265,0)</f>
        <v>0</v>
      </c>
      <c r="AK265" s="31">
        <f>IF(AN265=12,L265,0)</f>
        <v>0</v>
      </c>
      <c r="AL265" s="31">
        <f>IF(AN265=21,L265,0)</f>
        <v>0</v>
      </c>
      <c r="AN265" s="31">
        <v>21</v>
      </c>
      <c r="AO265" s="31">
        <f>H265*0.01642732</f>
        <v>0</v>
      </c>
      <c r="AP265" s="31">
        <f>H265*(1-0.01642732)</f>
        <v>0</v>
      </c>
      <c r="AQ265" s="32" t="s">
        <v>91</v>
      </c>
      <c r="AV265" s="31">
        <f>AW265+AX265</f>
        <v>0</v>
      </c>
      <c r="AW265" s="31">
        <f>G265*AO265</f>
        <v>0</v>
      </c>
      <c r="AX265" s="31">
        <f>G265*AP265</f>
        <v>0</v>
      </c>
      <c r="AY265" s="32" t="s">
        <v>460</v>
      </c>
      <c r="AZ265" s="32" t="s">
        <v>461</v>
      </c>
      <c r="BA265" s="12" t="s">
        <v>60</v>
      </c>
      <c r="BC265" s="31">
        <f>AW265+AX265</f>
        <v>0</v>
      </c>
      <c r="BD265" s="31">
        <f>H265/(100-BE265)*100</f>
        <v>0</v>
      </c>
      <c r="BE265" s="31">
        <v>0</v>
      </c>
      <c r="BF265" s="31">
        <f>O265</f>
        <v>1.6160000000000001</v>
      </c>
      <c r="BH265" s="31">
        <f>G265*AO265</f>
        <v>0</v>
      </c>
      <c r="BI265" s="31">
        <f>G265*AP265</f>
        <v>0</v>
      </c>
      <c r="BJ265" s="31">
        <f>G265*H265</f>
        <v>0</v>
      </c>
      <c r="BK265" s="31"/>
      <c r="BL265" s="31">
        <v>762</v>
      </c>
      <c r="BW265" s="31" t="str">
        <f>I265</f>
        <v>21</v>
      </c>
      <c r="BX265" s="4" t="s">
        <v>605</v>
      </c>
    </row>
    <row r="266" spans="1:76" ht="14.35" x14ac:dyDescent="0.5">
      <c r="A266" s="34"/>
      <c r="D266" s="35" t="s">
        <v>606</v>
      </c>
      <c r="E266" s="35" t="s">
        <v>607</v>
      </c>
      <c r="G266" s="36">
        <v>75</v>
      </c>
      <c r="P266" s="37"/>
    </row>
    <row r="267" spans="1:76" ht="14.35" x14ac:dyDescent="0.5">
      <c r="A267" s="34"/>
      <c r="D267" s="35" t="s">
        <v>608</v>
      </c>
      <c r="E267" s="35" t="s">
        <v>609</v>
      </c>
      <c r="G267" s="36">
        <v>26</v>
      </c>
      <c r="P267" s="37"/>
    </row>
    <row r="268" spans="1:76" ht="14.35" x14ac:dyDescent="0.5">
      <c r="A268" s="2" t="s">
        <v>610</v>
      </c>
      <c r="B268" s="3" t="s">
        <v>49</v>
      </c>
      <c r="C268" s="3" t="s">
        <v>611</v>
      </c>
      <c r="D268" s="72" t="s">
        <v>612</v>
      </c>
      <c r="E268" s="73"/>
      <c r="F268" s="3" t="s">
        <v>150</v>
      </c>
      <c r="G268" s="31">
        <v>30.4</v>
      </c>
      <c r="H268" s="71"/>
      <c r="I268" s="32" t="s">
        <v>56</v>
      </c>
      <c r="J268" s="31">
        <f>G268*AO268</f>
        <v>0</v>
      </c>
      <c r="K268" s="31">
        <f>G268*AP268</f>
        <v>0</v>
      </c>
      <c r="L268" s="31">
        <f>G268*H268</f>
        <v>0</v>
      </c>
      <c r="M268" s="31">
        <f>L268*(1+BW268/100)</f>
        <v>0</v>
      </c>
      <c r="N268" s="31">
        <v>2.4910000000000002E-2</v>
      </c>
      <c r="O268" s="31">
        <f>G268*N268</f>
        <v>0.75726400000000005</v>
      </c>
      <c r="P268" s="33" t="s">
        <v>57</v>
      </c>
      <c r="Z268" s="31">
        <f>IF(AQ268="5",BJ268,0)</f>
        <v>0</v>
      </c>
      <c r="AB268" s="31">
        <f>IF(AQ268="1",BH268,0)</f>
        <v>0</v>
      </c>
      <c r="AC268" s="31">
        <f>IF(AQ268="1",BI268,0)</f>
        <v>0</v>
      </c>
      <c r="AD268" s="31">
        <f>IF(AQ268="7",BH268,0)</f>
        <v>0</v>
      </c>
      <c r="AE268" s="31">
        <f>IF(AQ268="7",BI268,0)</f>
        <v>0</v>
      </c>
      <c r="AF268" s="31">
        <f>IF(AQ268="2",BH268,0)</f>
        <v>0</v>
      </c>
      <c r="AG268" s="31">
        <f>IF(AQ268="2",BI268,0)</f>
        <v>0</v>
      </c>
      <c r="AH268" s="31">
        <f>IF(AQ268="0",BJ268,0)</f>
        <v>0</v>
      </c>
      <c r="AI268" s="12" t="s">
        <v>49</v>
      </c>
      <c r="AJ268" s="31">
        <f>IF(AN268=0,L268,0)</f>
        <v>0</v>
      </c>
      <c r="AK268" s="31">
        <f>IF(AN268=12,L268,0)</f>
        <v>0</v>
      </c>
      <c r="AL268" s="31">
        <f>IF(AN268=21,L268,0)</f>
        <v>0</v>
      </c>
      <c r="AN268" s="31">
        <v>21</v>
      </c>
      <c r="AO268" s="31">
        <f>H268*0.015352378</f>
        <v>0</v>
      </c>
      <c r="AP268" s="31">
        <f>H268*(1-0.015352378)</f>
        <v>0</v>
      </c>
      <c r="AQ268" s="32" t="s">
        <v>91</v>
      </c>
      <c r="AV268" s="31">
        <f>AW268+AX268</f>
        <v>0</v>
      </c>
      <c r="AW268" s="31">
        <f>G268*AO268</f>
        <v>0</v>
      </c>
      <c r="AX268" s="31">
        <f>G268*AP268</f>
        <v>0</v>
      </c>
      <c r="AY268" s="32" t="s">
        <v>460</v>
      </c>
      <c r="AZ268" s="32" t="s">
        <v>461</v>
      </c>
      <c r="BA268" s="12" t="s">
        <v>60</v>
      </c>
      <c r="BC268" s="31">
        <f>AW268+AX268</f>
        <v>0</v>
      </c>
      <c r="BD268" s="31">
        <f>H268/(100-BE268)*100</f>
        <v>0</v>
      </c>
      <c r="BE268" s="31">
        <v>0</v>
      </c>
      <c r="BF268" s="31">
        <f>O268</f>
        <v>0.75726400000000005</v>
      </c>
      <c r="BH268" s="31">
        <f>G268*AO268</f>
        <v>0</v>
      </c>
      <c r="BI268" s="31">
        <f>G268*AP268</f>
        <v>0</v>
      </c>
      <c r="BJ268" s="31">
        <f>G268*H268</f>
        <v>0</v>
      </c>
      <c r="BK268" s="31"/>
      <c r="BL268" s="31">
        <v>762</v>
      </c>
      <c r="BW268" s="31" t="str">
        <f>I268</f>
        <v>21</v>
      </c>
      <c r="BX268" s="4" t="s">
        <v>612</v>
      </c>
    </row>
    <row r="269" spans="1:76" ht="14.35" x14ac:dyDescent="0.5">
      <c r="A269" s="34"/>
      <c r="D269" s="35" t="s">
        <v>613</v>
      </c>
      <c r="E269" s="35" t="s">
        <v>614</v>
      </c>
      <c r="G269" s="36">
        <v>27</v>
      </c>
      <c r="P269" s="37"/>
    </row>
    <row r="270" spans="1:76" ht="14.35" x14ac:dyDescent="0.5">
      <c r="A270" s="34"/>
      <c r="D270" s="35" t="s">
        <v>615</v>
      </c>
      <c r="E270" s="35" t="s">
        <v>616</v>
      </c>
      <c r="G270" s="36">
        <v>3.4</v>
      </c>
      <c r="P270" s="37"/>
    </row>
    <row r="271" spans="1:76" ht="14.35" x14ac:dyDescent="0.5">
      <c r="A271" s="2" t="s">
        <v>617</v>
      </c>
      <c r="B271" s="3" t="s">
        <v>49</v>
      </c>
      <c r="C271" s="3" t="s">
        <v>618</v>
      </c>
      <c r="D271" s="72" t="s">
        <v>619</v>
      </c>
      <c r="E271" s="73"/>
      <c r="F271" s="3" t="s">
        <v>150</v>
      </c>
      <c r="G271" s="31">
        <v>31.2</v>
      </c>
      <c r="H271" s="71"/>
      <c r="I271" s="32" t="s">
        <v>56</v>
      </c>
      <c r="J271" s="31">
        <f>G271*AO271</f>
        <v>0</v>
      </c>
      <c r="K271" s="31">
        <f>G271*AP271</f>
        <v>0</v>
      </c>
      <c r="L271" s="31">
        <f>G271*H271</f>
        <v>0</v>
      </c>
      <c r="M271" s="31">
        <f>L271*(1+BW271/100)</f>
        <v>0</v>
      </c>
      <c r="N271" s="31">
        <v>2.4910000000000002E-2</v>
      </c>
      <c r="O271" s="31">
        <f>G271*N271</f>
        <v>0.77719199999999999</v>
      </c>
      <c r="P271" s="33" t="s">
        <v>57</v>
      </c>
      <c r="Z271" s="31">
        <f>IF(AQ271="5",BJ271,0)</f>
        <v>0</v>
      </c>
      <c r="AB271" s="31">
        <f>IF(AQ271="1",BH271,0)</f>
        <v>0</v>
      </c>
      <c r="AC271" s="31">
        <f>IF(AQ271="1",BI271,0)</f>
        <v>0</v>
      </c>
      <c r="AD271" s="31">
        <f>IF(AQ271="7",BH271,0)</f>
        <v>0</v>
      </c>
      <c r="AE271" s="31">
        <f>IF(AQ271="7",BI271,0)</f>
        <v>0</v>
      </c>
      <c r="AF271" s="31">
        <f>IF(AQ271="2",BH271,0)</f>
        <v>0</v>
      </c>
      <c r="AG271" s="31">
        <f>IF(AQ271="2",BI271,0)</f>
        <v>0</v>
      </c>
      <c r="AH271" s="31">
        <f>IF(AQ271="0",BJ271,0)</f>
        <v>0</v>
      </c>
      <c r="AI271" s="12" t="s">
        <v>49</v>
      </c>
      <c r="AJ271" s="31">
        <f>IF(AN271=0,L271,0)</f>
        <v>0</v>
      </c>
      <c r="AK271" s="31">
        <f>IF(AN271=12,L271,0)</f>
        <v>0</v>
      </c>
      <c r="AL271" s="31">
        <f>IF(AN271=21,L271,0)</f>
        <v>0</v>
      </c>
      <c r="AN271" s="31">
        <v>21</v>
      </c>
      <c r="AO271" s="31">
        <f>H271*0.016810036</f>
        <v>0</v>
      </c>
      <c r="AP271" s="31">
        <f>H271*(1-0.016810036)</f>
        <v>0</v>
      </c>
      <c r="AQ271" s="32" t="s">
        <v>91</v>
      </c>
      <c r="AV271" s="31">
        <f>AW271+AX271</f>
        <v>0</v>
      </c>
      <c r="AW271" s="31">
        <f>G271*AO271</f>
        <v>0</v>
      </c>
      <c r="AX271" s="31">
        <f>G271*AP271</f>
        <v>0</v>
      </c>
      <c r="AY271" s="32" t="s">
        <v>460</v>
      </c>
      <c r="AZ271" s="32" t="s">
        <v>461</v>
      </c>
      <c r="BA271" s="12" t="s">
        <v>60</v>
      </c>
      <c r="BC271" s="31">
        <f>AW271+AX271</f>
        <v>0</v>
      </c>
      <c r="BD271" s="31">
        <f>H271/(100-BE271)*100</f>
        <v>0</v>
      </c>
      <c r="BE271" s="31">
        <v>0</v>
      </c>
      <c r="BF271" s="31">
        <f>O271</f>
        <v>0.77719199999999999</v>
      </c>
      <c r="BH271" s="31">
        <f>G271*AO271</f>
        <v>0</v>
      </c>
      <c r="BI271" s="31">
        <f>G271*AP271</f>
        <v>0</v>
      </c>
      <c r="BJ271" s="31">
        <f>G271*H271</f>
        <v>0</v>
      </c>
      <c r="BK271" s="31"/>
      <c r="BL271" s="31">
        <v>762</v>
      </c>
      <c r="BW271" s="31" t="str">
        <f>I271</f>
        <v>21</v>
      </c>
      <c r="BX271" s="4" t="s">
        <v>619</v>
      </c>
    </row>
    <row r="272" spans="1:76" ht="14.35" x14ac:dyDescent="0.5">
      <c r="A272" s="34"/>
      <c r="D272" s="35" t="s">
        <v>620</v>
      </c>
      <c r="E272" s="35" t="s">
        <v>616</v>
      </c>
      <c r="G272" s="36">
        <v>31.2</v>
      </c>
      <c r="P272" s="37"/>
    </row>
    <row r="273" spans="1:76" ht="14.35" x14ac:dyDescent="0.5">
      <c r="A273" s="2" t="s">
        <v>621</v>
      </c>
      <c r="B273" s="3" t="s">
        <v>49</v>
      </c>
      <c r="C273" s="3" t="s">
        <v>622</v>
      </c>
      <c r="D273" s="72" t="s">
        <v>623</v>
      </c>
      <c r="E273" s="73"/>
      <c r="F273" s="3" t="s">
        <v>150</v>
      </c>
      <c r="G273" s="31">
        <v>113.41</v>
      </c>
      <c r="H273" s="71"/>
      <c r="I273" s="32" t="s">
        <v>56</v>
      </c>
      <c r="J273" s="31">
        <f>G273*AO273</f>
        <v>0</v>
      </c>
      <c r="K273" s="31">
        <f>G273*AP273</f>
        <v>0</v>
      </c>
      <c r="L273" s="31">
        <f>G273*H273</f>
        <v>0</v>
      </c>
      <c r="M273" s="31">
        <f>L273*(1+BW273/100)</f>
        <v>0</v>
      </c>
      <c r="N273" s="31">
        <v>9.8999999999999999E-4</v>
      </c>
      <c r="O273" s="31">
        <f>G273*N273</f>
        <v>0.1122759</v>
      </c>
      <c r="P273" s="33" t="s">
        <v>57</v>
      </c>
      <c r="Z273" s="31">
        <f>IF(AQ273="5",BJ273,0)</f>
        <v>0</v>
      </c>
      <c r="AB273" s="31">
        <f>IF(AQ273="1",BH273,0)</f>
        <v>0</v>
      </c>
      <c r="AC273" s="31">
        <f>IF(AQ273="1",BI273,0)</f>
        <v>0</v>
      </c>
      <c r="AD273" s="31">
        <f>IF(AQ273="7",BH273,0)</f>
        <v>0</v>
      </c>
      <c r="AE273" s="31">
        <f>IF(AQ273="7",BI273,0)</f>
        <v>0</v>
      </c>
      <c r="AF273" s="31">
        <f>IF(AQ273="2",BH273,0)</f>
        <v>0</v>
      </c>
      <c r="AG273" s="31">
        <f>IF(AQ273="2",BI273,0)</f>
        <v>0</v>
      </c>
      <c r="AH273" s="31">
        <f>IF(AQ273="0",BJ273,0)</f>
        <v>0</v>
      </c>
      <c r="AI273" s="12" t="s">
        <v>49</v>
      </c>
      <c r="AJ273" s="31">
        <f>IF(AN273=0,L273,0)</f>
        <v>0</v>
      </c>
      <c r="AK273" s="31">
        <f>IF(AN273=12,L273,0)</f>
        <v>0</v>
      </c>
      <c r="AL273" s="31">
        <f>IF(AN273=21,L273,0)</f>
        <v>0</v>
      </c>
      <c r="AN273" s="31">
        <v>21</v>
      </c>
      <c r="AO273" s="31">
        <f>H273*0.046634146</f>
        <v>0</v>
      </c>
      <c r="AP273" s="31">
        <f>H273*(1-0.046634146)</f>
        <v>0</v>
      </c>
      <c r="AQ273" s="32" t="s">
        <v>91</v>
      </c>
      <c r="AV273" s="31">
        <f>AW273+AX273</f>
        <v>0</v>
      </c>
      <c r="AW273" s="31">
        <f>G273*AO273</f>
        <v>0</v>
      </c>
      <c r="AX273" s="31">
        <f>G273*AP273</f>
        <v>0</v>
      </c>
      <c r="AY273" s="32" t="s">
        <v>460</v>
      </c>
      <c r="AZ273" s="32" t="s">
        <v>461</v>
      </c>
      <c r="BA273" s="12" t="s">
        <v>60</v>
      </c>
      <c r="BC273" s="31">
        <f>AW273+AX273</f>
        <v>0</v>
      </c>
      <c r="BD273" s="31">
        <f>H273/(100-BE273)*100</f>
        <v>0</v>
      </c>
      <c r="BE273" s="31">
        <v>0</v>
      </c>
      <c r="BF273" s="31">
        <f>O273</f>
        <v>0.1122759</v>
      </c>
      <c r="BH273" s="31">
        <f>G273*AO273</f>
        <v>0</v>
      </c>
      <c r="BI273" s="31">
        <f>G273*AP273</f>
        <v>0</v>
      </c>
      <c r="BJ273" s="31">
        <f>G273*H273</f>
        <v>0</v>
      </c>
      <c r="BK273" s="31"/>
      <c r="BL273" s="31">
        <v>762</v>
      </c>
      <c r="BW273" s="31" t="str">
        <f>I273</f>
        <v>21</v>
      </c>
      <c r="BX273" s="4" t="s">
        <v>623</v>
      </c>
    </row>
    <row r="274" spans="1:76" ht="14.35" x14ac:dyDescent="0.5">
      <c r="A274" s="34"/>
      <c r="D274" s="35" t="s">
        <v>624</v>
      </c>
      <c r="E274" s="35" t="s">
        <v>625</v>
      </c>
      <c r="G274" s="36">
        <v>113.41</v>
      </c>
      <c r="P274" s="37"/>
    </row>
    <row r="275" spans="1:76" ht="14.35" x14ac:dyDescent="0.5">
      <c r="A275" s="2" t="s">
        <v>626</v>
      </c>
      <c r="B275" s="3" t="s">
        <v>49</v>
      </c>
      <c r="C275" s="3" t="s">
        <v>627</v>
      </c>
      <c r="D275" s="72" t="s">
        <v>628</v>
      </c>
      <c r="E275" s="73"/>
      <c r="F275" s="3" t="s">
        <v>55</v>
      </c>
      <c r="G275" s="31">
        <v>0.87</v>
      </c>
      <c r="H275" s="71"/>
      <c r="I275" s="32" t="s">
        <v>56</v>
      </c>
      <c r="J275" s="31">
        <f>G275*AO275</f>
        <v>0</v>
      </c>
      <c r="K275" s="31">
        <f>G275*AP275</f>
        <v>0</v>
      </c>
      <c r="L275" s="31">
        <f>G275*H275</f>
        <v>0</v>
      </c>
      <c r="M275" s="31">
        <f>L275*(1+BW275/100)</f>
        <v>0</v>
      </c>
      <c r="N275" s="31">
        <v>0.55000000000000004</v>
      </c>
      <c r="O275" s="31">
        <f>G275*N275</f>
        <v>0.47850000000000004</v>
      </c>
      <c r="P275" s="33" t="s">
        <v>57</v>
      </c>
      <c r="Z275" s="31">
        <f>IF(AQ275="5",BJ275,0)</f>
        <v>0</v>
      </c>
      <c r="AB275" s="31">
        <f>IF(AQ275="1",BH275,0)</f>
        <v>0</v>
      </c>
      <c r="AC275" s="31">
        <f>IF(AQ275="1",BI275,0)</f>
        <v>0</v>
      </c>
      <c r="AD275" s="31">
        <f>IF(AQ275="7",BH275,0)</f>
        <v>0</v>
      </c>
      <c r="AE275" s="31">
        <f>IF(AQ275="7",BI275,0)</f>
        <v>0</v>
      </c>
      <c r="AF275" s="31">
        <f>IF(AQ275="2",BH275,0)</f>
        <v>0</v>
      </c>
      <c r="AG275" s="31">
        <f>IF(AQ275="2",BI275,0)</f>
        <v>0</v>
      </c>
      <c r="AH275" s="31">
        <f>IF(AQ275="0",BJ275,0)</f>
        <v>0</v>
      </c>
      <c r="AI275" s="12" t="s">
        <v>49</v>
      </c>
      <c r="AJ275" s="31">
        <f>IF(AN275=0,L275,0)</f>
        <v>0</v>
      </c>
      <c r="AK275" s="31">
        <f>IF(AN275=12,L275,0)</f>
        <v>0</v>
      </c>
      <c r="AL275" s="31">
        <f>IF(AN275=21,L275,0)</f>
        <v>0</v>
      </c>
      <c r="AN275" s="31">
        <v>21</v>
      </c>
      <c r="AO275" s="31">
        <f>H275*1</f>
        <v>0</v>
      </c>
      <c r="AP275" s="31">
        <f>H275*(1-1)</f>
        <v>0</v>
      </c>
      <c r="AQ275" s="32" t="s">
        <v>91</v>
      </c>
      <c r="AV275" s="31">
        <f>AW275+AX275</f>
        <v>0</v>
      </c>
      <c r="AW275" s="31">
        <f>G275*AO275</f>
        <v>0</v>
      </c>
      <c r="AX275" s="31">
        <f>G275*AP275</f>
        <v>0</v>
      </c>
      <c r="AY275" s="32" t="s">
        <v>460</v>
      </c>
      <c r="AZ275" s="32" t="s">
        <v>461</v>
      </c>
      <c r="BA275" s="12" t="s">
        <v>60</v>
      </c>
      <c r="BC275" s="31">
        <f>AW275+AX275</f>
        <v>0</v>
      </c>
      <c r="BD275" s="31">
        <f>H275/(100-BE275)*100</f>
        <v>0</v>
      </c>
      <c r="BE275" s="31">
        <v>0</v>
      </c>
      <c r="BF275" s="31">
        <f>O275</f>
        <v>0.47850000000000004</v>
      </c>
      <c r="BH275" s="31">
        <f>G275*AO275</f>
        <v>0</v>
      </c>
      <c r="BI275" s="31">
        <f>G275*AP275</f>
        <v>0</v>
      </c>
      <c r="BJ275" s="31">
        <f>G275*H275</f>
        <v>0</v>
      </c>
      <c r="BK275" s="31"/>
      <c r="BL275" s="31">
        <v>762</v>
      </c>
      <c r="BW275" s="31" t="str">
        <f>I275</f>
        <v>21</v>
      </c>
      <c r="BX275" s="4" t="s">
        <v>628</v>
      </c>
    </row>
    <row r="276" spans="1:76" ht="14.35" x14ac:dyDescent="0.5">
      <c r="A276" s="34"/>
      <c r="D276" s="35" t="s">
        <v>629</v>
      </c>
      <c r="E276" s="35" t="s">
        <v>630</v>
      </c>
      <c r="G276" s="36">
        <v>0.79</v>
      </c>
      <c r="P276" s="37"/>
    </row>
    <row r="277" spans="1:76" ht="14.35" x14ac:dyDescent="0.5">
      <c r="A277" s="34"/>
      <c r="D277" s="35" t="s">
        <v>631</v>
      </c>
      <c r="E277" s="35" t="s">
        <v>49</v>
      </c>
      <c r="G277" s="36">
        <v>0.08</v>
      </c>
      <c r="P277" s="37"/>
    </row>
    <row r="278" spans="1:76" ht="14.35" x14ac:dyDescent="0.5">
      <c r="A278" s="2" t="s">
        <v>632</v>
      </c>
      <c r="B278" s="3" t="s">
        <v>49</v>
      </c>
      <c r="C278" s="3" t="s">
        <v>633</v>
      </c>
      <c r="D278" s="72" t="s">
        <v>634</v>
      </c>
      <c r="E278" s="73"/>
      <c r="F278" s="3" t="s">
        <v>150</v>
      </c>
      <c r="G278" s="31">
        <v>285.7</v>
      </c>
      <c r="H278" s="71"/>
      <c r="I278" s="32" t="s">
        <v>56</v>
      </c>
      <c r="J278" s="31">
        <f>G278*AO278</f>
        <v>0</v>
      </c>
      <c r="K278" s="31">
        <f>G278*AP278</f>
        <v>0</v>
      </c>
      <c r="L278" s="31">
        <f>G278*H278</f>
        <v>0</v>
      </c>
      <c r="M278" s="31">
        <f>L278*(1+BW278/100)</f>
        <v>0</v>
      </c>
      <c r="N278" s="31">
        <v>9.8999999999999999E-4</v>
      </c>
      <c r="O278" s="31">
        <f>G278*N278</f>
        <v>0.28284300000000001</v>
      </c>
      <c r="P278" s="33" t="s">
        <v>57</v>
      </c>
      <c r="Z278" s="31">
        <f>IF(AQ278="5",BJ278,0)</f>
        <v>0</v>
      </c>
      <c r="AB278" s="31">
        <f>IF(AQ278="1",BH278,0)</f>
        <v>0</v>
      </c>
      <c r="AC278" s="31">
        <f>IF(AQ278="1",BI278,0)</f>
        <v>0</v>
      </c>
      <c r="AD278" s="31">
        <f>IF(AQ278="7",BH278,0)</f>
        <v>0</v>
      </c>
      <c r="AE278" s="31">
        <f>IF(AQ278="7",BI278,0)</f>
        <v>0</v>
      </c>
      <c r="AF278" s="31">
        <f>IF(AQ278="2",BH278,0)</f>
        <v>0</v>
      </c>
      <c r="AG278" s="31">
        <f>IF(AQ278="2",BI278,0)</f>
        <v>0</v>
      </c>
      <c r="AH278" s="31">
        <f>IF(AQ278="0",BJ278,0)</f>
        <v>0</v>
      </c>
      <c r="AI278" s="12" t="s">
        <v>49</v>
      </c>
      <c r="AJ278" s="31">
        <f>IF(AN278=0,L278,0)</f>
        <v>0</v>
      </c>
      <c r="AK278" s="31">
        <f>IF(AN278=12,L278,0)</f>
        <v>0</v>
      </c>
      <c r="AL278" s="31">
        <f>IF(AN278=21,L278,0)</f>
        <v>0</v>
      </c>
      <c r="AN278" s="31">
        <v>21</v>
      </c>
      <c r="AO278" s="31">
        <f>H278*0.035148352</f>
        <v>0</v>
      </c>
      <c r="AP278" s="31">
        <f>H278*(1-0.035148352)</f>
        <v>0</v>
      </c>
      <c r="AQ278" s="32" t="s">
        <v>91</v>
      </c>
      <c r="AV278" s="31">
        <f>AW278+AX278</f>
        <v>0</v>
      </c>
      <c r="AW278" s="31">
        <f>G278*AO278</f>
        <v>0</v>
      </c>
      <c r="AX278" s="31">
        <f>G278*AP278</f>
        <v>0</v>
      </c>
      <c r="AY278" s="32" t="s">
        <v>460</v>
      </c>
      <c r="AZ278" s="32" t="s">
        <v>461</v>
      </c>
      <c r="BA278" s="12" t="s">
        <v>60</v>
      </c>
      <c r="BC278" s="31">
        <f>AW278+AX278</f>
        <v>0</v>
      </c>
      <c r="BD278" s="31">
        <f>H278/(100-BE278)*100</f>
        <v>0</v>
      </c>
      <c r="BE278" s="31">
        <v>0</v>
      </c>
      <c r="BF278" s="31">
        <f>O278</f>
        <v>0.28284300000000001</v>
      </c>
      <c r="BH278" s="31">
        <f>G278*AO278</f>
        <v>0</v>
      </c>
      <c r="BI278" s="31">
        <f>G278*AP278</f>
        <v>0</v>
      </c>
      <c r="BJ278" s="31">
        <f>G278*H278</f>
        <v>0</v>
      </c>
      <c r="BK278" s="31"/>
      <c r="BL278" s="31">
        <v>762</v>
      </c>
      <c r="BW278" s="31" t="str">
        <f>I278</f>
        <v>21</v>
      </c>
      <c r="BX278" s="4" t="s">
        <v>634</v>
      </c>
    </row>
    <row r="279" spans="1:76" ht="14.35" x14ac:dyDescent="0.5">
      <c r="A279" s="34"/>
      <c r="D279" s="35" t="s">
        <v>635</v>
      </c>
      <c r="E279" s="35" t="s">
        <v>636</v>
      </c>
      <c r="G279" s="36">
        <v>124.2</v>
      </c>
      <c r="P279" s="37"/>
    </row>
    <row r="280" spans="1:76" ht="14.35" x14ac:dyDescent="0.5">
      <c r="A280" s="34"/>
      <c r="D280" s="35" t="s">
        <v>592</v>
      </c>
      <c r="E280" s="35" t="s">
        <v>593</v>
      </c>
      <c r="G280" s="36">
        <v>161.5</v>
      </c>
      <c r="P280" s="37"/>
    </row>
    <row r="281" spans="1:76" ht="14.35" x14ac:dyDescent="0.5">
      <c r="A281" s="2" t="s">
        <v>637</v>
      </c>
      <c r="B281" s="3" t="s">
        <v>49</v>
      </c>
      <c r="C281" s="3" t="s">
        <v>638</v>
      </c>
      <c r="D281" s="72" t="s">
        <v>639</v>
      </c>
      <c r="E281" s="73"/>
      <c r="F281" s="3" t="s">
        <v>55</v>
      </c>
      <c r="G281" s="31">
        <v>2.2999999999999998</v>
      </c>
      <c r="H281" s="71"/>
      <c r="I281" s="32" t="s">
        <v>56</v>
      </c>
      <c r="J281" s="31">
        <f>G281*AO281</f>
        <v>0</v>
      </c>
      <c r="K281" s="31">
        <f>G281*AP281</f>
        <v>0</v>
      </c>
      <c r="L281" s="31">
        <f>G281*H281</f>
        <v>0</v>
      </c>
      <c r="M281" s="31">
        <f>L281*(1+BW281/100)</f>
        <v>0</v>
      </c>
      <c r="N281" s="31">
        <v>0.66</v>
      </c>
      <c r="O281" s="31">
        <f>G281*N281</f>
        <v>1.518</v>
      </c>
      <c r="P281" s="33" t="s">
        <v>57</v>
      </c>
      <c r="Z281" s="31">
        <f>IF(AQ281="5",BJ281,0)</f>
        <v>0</v>
      </c>
      <c r="AB281" s="31">
        <f>IF(AQ281="1",BH281,0)</f>
        <v>0</v>
      </c>
      <c r="AC281" s="31">
        <f>IF(AQ281="1",BI281,0)</f>
        <v>0</v>
      </c>
      <c r="AD281" s="31">
        <f>IF(AQ281="7",BH281,0)</f>
        <v>0</v>
      </c>
      <c r="AE281" s="31">
        <f>IF(AQ281="7",BI281,0)</f>
        <v>0</v>
      </c>
      <c r="AF281" s="31">
        <f>IF(AQ281="2",BH281,0)</f>
        <v>0</v>
      </c>
      <c r="AG281" s="31">
        <f>IF(AQ281="2",BI281,0)</f>
        <v>0</v>
      </c>
      <c r="AH281" s="31">
        <f>IF(AQ281="0",BJ281,0)</f>
        <v>0</v>
      </c>
      <c r="AI281" s="12" t="s">
        <v>49</v>
      </c>
      <c r="AJ281" s="31">
        <f>IF(AN281=0,L281,0)</f>
        <v>0</v>
      </c>
      <c r="AK281" s="31">
        <f>IF(AN281=12,L281,0)</f>
        <v>0</v>
      </c>
      <c r="AL281" s="31">
        <f>IF(AN281=21,L281,0)</f>
        <v>0</v>
      </c>
      <c r="AN281" s="31">
        <v>21</v>
      </c>
      <c r="AO281" s="31">
        <f>H281*1</f>
        <v>0</v>
      </c>
      <c r="AP281" s="31">
        <f>H281*(1-1)</f>
        <v>0</v>
      </c>
      <c r="AQ281" s="32" t="s">
        <v>91</v>
      </c>
      <c r="AV281" s="31">
        <f>AW281+AX281</f>
        <v>0</v>
      </c>
      <c r="AW281" s="31">
        <f>G281*AO281</f>
        <v>0</v>
      </c>
      <c r="AX281" s="31">
        <f>G281*AP281</f>
        <v>0</v>
      </c>
      <c r="AY281" s="32" t="s">
        <v>460</v>
      </c>
      <c r="AZ281" s="32" t="s">
        <v>461</v>
      </c>
      <c r="BA281" s="12" t="s">
        <v>60</v>
      </c>
      <c r="BC281" s="31">
        <f>AW281+AX281</f>
        <v>0</v>
      </c>
      <c r="BD281" s="31">
        <f>H281/(100-BE281)*100</f>
        <v>0</v>
      </c>
      <c r="BE281" s="31">
        <v>0</v>
      </c>
      <c r="BF281" s="31">
        <f>O281</f>
        <v>1.518</v>
      </c>
      <c r="BH281" s="31">
        <f>G281*AO281</f>
        <v>0</v>
      </c>
      <c r="BI281" s="31">
        <f>G281*AP281</f>
        <v>0</v>
      </c>
      <c r="BJ281" s="31">
        <f>G281*H281</f>
        <v>0</v>
      </c>
      <c r="BK281" s="31"/>
      <c r="BL281" s="31">
        <v>762</v>
      </c>
      <c r="BW281" s="31" t="str">
        <f>I281</f>
        <v>21</v>
      </c>
      <c r="BX281" s="4" t="s">
        <v>639</v>
      </c>
    </row>
    <row r="282" spans="1:76" ht="14.35" x14ac:dyDescent="0.5">
      <c r="A282" s="34"/>
      <c r="D282" s="35" t="s">
        <v>640</v>
      </c>
      <c r="E282" s="35" t="s">
        <v>636</v>
      </c>
      <c r="G282" s="36">
        <v>2.09</v>
      </c>
      <c r="P282" s="37"/>
    </row>
    <row r="283" spans="1:76" ht="14.35" x14ac:dyDescent="0.5">
      <c r="A283" s="34"/>
      <c r="D283" s="35" t="s">
        <v>641</v>
      </c>
      <c r="E283" s="35" t="s">
        <v>49</v>
      </c>
      <c r="G283" s="36">
        <v>0.21</v>
      </c>
      <c r="P283" s="37"/>
    </row>
    <row r="284" spans="1:76" ht="14.35" x14ac:dyDescent="0.5">
      <c r="A284" s="2" t="s">
        <v>642</v>
      </c>
      <c r="B284" s="3" t="s">
        <v>49</v>
      </c>
      <c r="C284" s="3" t="s">
        <v>643</v>
      </c>
      <c r="D284" s="72" t="s">
        <v>644</v>
      </c>
      <c r="E284" s="73"/>
      <c r="F284" s="3" t="s">
        <v>55</v>
      </c>
      <c r="G284" s="31">
        <v>3.41</v>
      </c>
      <c r="H284" s="71"/>
      <c r="I284" s="32" t="s">
        <v>56</v>
      </c>
      <c r="J284" s="31">
        <f>G284*AO284</f>
        <v>0</v>
      </c>
      <c r="K284" s="31">
        <f>G284*AP284</f>
        <v>0</v>
      </c>
      <c r="L284" s="31">
        <f>G284*H284</f>
        <v>0</v>
      </c>
      <c r="M284" s="31">
        <f>L284*(1+BW284/100)</f>
        <v>0</v>
      </c>
      <c r="N284" s="31">
        <v>0.55000000000000004</v>
      </c>
      <c r="O284" s="31">
        <f>G284*N284</f>
        <v>1.8755000000000002</v>
      </c>
      <c r="P284" s="33" t="s">
        <v>57</v>
      </c>
      <c r="Z284" s="31">
        <f>IF(AQ284="5",BJ284,0)</f>
        <v>0</v>
      </c>
      <c r="AB284" s="31">
        <f>IF(AQ284="1",BH284,0)</f>
        <v>0</v>
      </c>
      <c r="AC284" s="31">
        <f>IF(AQ284="1",BI284,0)</f>
        <v>0</v>
      </c>
      <c r="AD284" s="31">
        <f>IF(AQ284="7",BH284,0)</f>
        <v>0</v>
      </c>
      <c r="AE284" s="31">
        <f>IF(AQ284="7",BI284,0)</f>
        <v>0</v>
      </c>
      <c r="AF284" s="31">
        <f>IF(AQ284="2",BH284,0)</f>
        <v>0</v>
      </c>
      <c r="AG284" s="31">
        <f>IF(AQ284="2",BI284,0)</f>
        <v>0</v>
      </c>
      <c r="AH284" s="31">
        <f>IF(AQ284="0",BJ284,0)</f>
        <v>0</v>
      </c>
      <c r="AI284" s="12" t="s">
        <v>49</v>
      </c>
      <c r="AJ284" s="31">
        <f>IF(AN284=0,L284,0)</f>
        <v>0</v>
      </c>
      <c r="AK284" s="31">
        <f>IF(AN284=12,L284,0)</f>
        <v>0</v>
      </c>
      <c r="AL284" s="31">
        <f>IF(AN284=21,L284,0)</f>
        <v>0</v>
      </c>
      <c r="AN284" s="31">
        <v>21</v>
      </c>
      <c r="AO284" s="31">
        <f>H284*1</f>
        <v>0</v>
      </c>
      <c r="AP284" s="31">
        <f>H284*(1-1)</f>
        <v>0</v>
      </c>
      <c r="AQ284" s="32" t="s">
        <v>91</v>
      </c>
      <c r="AV284" s="31">
        <f>AW284+AX284</f>
        <v>0</v>
      </c>
      <c r="AW284" s="31">
        <f>G284*AO284</f>
        <v>0</v>
      </c>
      <c r="AX284" s="31">
        <f>G284*AP284</f>
        <v>0</v>
      </c>
      <c r="AY284" s="32" t="s">
        <v>460</v>
      </c>
      <c r="AZ284" s="32" t="s">
        <v>461</v>
      </c>
      <c r="BA284" s="12" t="s">
        <v>60</v>
      </c>
      <c r="BC284" s="31">
        <f>AW284+AX284</f>
        <v>0</v>
      </c>
      <c r="BD284" s="31">
        <f>H284/(100-BE284)*100</f>
        <v>0</v>
      </c>
      <c r="BE284" s="31">
        <v>0</v>
      </c>
      <c r="BF284" s="31">
        <f>O284</f>
        <v>1.8755000000000002</v>
      </c>
      <c r="BH284" s="31">
        <f>G284*AO284</f>
        <v>0</v>
      </c>
      <c r="BI284" s="31">
        <f>G284*AP284</f>
        <v>0</v>
      </c>
      <c r="BJ284" s="31">
        <f>G284*H284</f>
        <v>0</v>
      </c>
      <c r="BK284" s="31"/>
      <c r="BL284" s="31">
        <v>762</v>
      </c>
      <c r="BW284" s="31" t="str">
        <f>I284</f>
        <v>21</v>
      </c>
      <c r="BX284" s="4" t="s">
        <v>644</v>
      </c>
    </row>
    <row r="285" spans="1:76" ht="14.35" x14ac:dyDescent="0.5">
      <c r="A285" s="34"/>
      <c r="D285" s="35" t="s">
        <v>645</v>
      </c>
      <c r="E285" s="35" t="s">
        <v>646</v>
      </c>
      <c r="G285" s="36">
        <v>3.1</v>
      </c>
      <c r="P285" s="37"/>
    </row>
    <row r="286" spans="1:76" ht="14.35" x14ac:dyDescent="0.5">
      <c r="A286" s="34"/>
      <c r="D286" s="35" t="s">
        <v>647</v>
      </c>
      <c r="E286" s="35" t="s">
        <v>49</v>
      </c>
      <c r="G286" s="36">
        <v>0.31</v>
      </c>
      <c r="P286" s="37"/>
    </row>
    <row r="287" spans="1:76" ht="14.35" x14ac:dyDescent="0.5">
      <c r="A287" s="2" t="s">
        <v>648</v>
      </c>
      <c r="B287" s="3" t="s">
        <v>49</v>
      </c>
      <c r="C287" s="3" t="s">
        <v>649</v>
      </c>
      <c r="D287" s="72" t="s">
        <v>650</v>
      </c>
      <c r="E287" s="73"/>
      <c r="F287" s="3" t="s">
        <v>150</v>
      </c>
      <c r="G287" s="31">
        <v>378.2</v>
      </c>
      <c r="H287" s="71"/>
      <c r="I287" s="32" t="s">
        <v>56</v>
      </c>
      <c r="J287" s="31">
        <f>G287*AO287</f>
        <v>0</v>
      </c>
      <c r="K287" s="31">
        <f>G287*AP287</f>
        <v>0</v>
      </c>
      <c r="L287" s="31">
        <f>G287*H287</f>
        <v>0</v>
      </c>
      <c r="M287" s="31">
        <f>L287*(1+BW287/100)</f>
        <v>0</v>
      </c>
      <c r="N287" s="31">
        <v>9.8999999999999999E-4</v>
      </c>
      <c r="O287" s="31">
        <f>G287*N287</f>
        <v>0.37441799999999997</v>
      </c>
      <c r="P287" s="33" t="s">
        <v>57</v>
      </c>
      <c r="Z287" s="31">
        <f>IF(AQ287="5",BJ287,0)</f>
        <v>0</v>
      </c>
      <c r="AB287" s="31">
        <f>IF(AQ287="1",BH287,0)</f>
        <v>0</v>
      </c>
      <c r="AC287" s="31">
        <f>IF(AQ287="1",BI287,0)</f>
        <v>0</v>
      </c>
      <c r="AD287" s="31">
        <f>IF(AQ287="7",BH287,0)</f>
        <v>0</v>
      </c>
      <c r="AE287" s="31">
        <f>IF(AQ287="7",BI287,0)</f>
        <v>0</v>
      </c>
      <c r="AF287" s="31">
        <f>IF(AQ287="2",BH287,0)</f>
        <v>0</v>
      </c>
      <c r="AG287" s="31">
        <f>IF(AQ287="2",BI287,0)</f>
        <v>0</v>
      </c>
      <c r="AH287" s="31">
        <f>IF(AQ287="0",BJ287,0)</f>
        <v>0</v>
      </c>
      <c r="AI287" s="12" t="s">
        <v>49</v>
      </c>
      <c r="AJ287" s="31">
        <f>IF(AN287=0,L287,0)</f>
        <v>0</v>
      </c>
      <c r="AK287" s="31">
        <f>IF(AN287=12,L287,0)</f>
        <v>0</v>
      </c>
      <c r="AL287" s="31">
        <f>IF(AN287=21,L287,0)</f>
        <v>0</v>
      </c>
      <c r="AN287" s="31">
        <v>21</v>
      </c>
      <c r="AO287" s="31">
        <f>H287*0.026741259</f>
        <v>0</v>
      </c>
      <c r="AP287" s="31">
        <f>H287*(1-0.026741259)</f>
        <v>0</v>
      </c>
      <c r="AQ287" s="32" t="s">
        <v>91</v>
      </c>
      <c r="AV287" s="31">
        <f>AW287+AX287</f>
        <v>0</v>
      </c>
      <c r="AW287" s="31">
        <f>G287*AO287</f>
        <v>0</v>
      </c>
      <c r="AX287" s="31">
        <f>G287*AP287</f>
        <v>0</v>
      </c>
      <c r="AY287" s="32" t="s">
        <v>460</v>
      </c>
      <c r="AZ287" s="32" t="s">
        <v>461</v>
      </c>
      <c r="BA287" s="12" t="s">
        <v>60</v>
      </c>
      <c r="BC287" s="31">
        <f>AW287+AX287</f>
        <v>0</v>
      </c>
      <c r="BD287" s="31">
        <f>H287/(100-BE287)*100</f>
        <v>0</v>
      </c>
      <c r="BE287" s="31">
        <v>0</v>
      </c>
      <c r="BF287" s="31">
        <f>O287</f>
        <v>0.37441799999999997</v>
      </c>
      <c r="BH287" s="31">
        <f>G287*AO287</f>
        <v>0</v>
      </c>
      <c r="BI287" s="31">
        <f>G287*AP287</f>
        <v>0</v>
      </c>
      <c r="BJ287" s="31">
        <f>G287*H287</f>
        <v>0</v>
      </c>
      <c r="BK287" s="31"/>
      <c r="BL287" s="31">
        <v>762</v>
      </c>
      <c r="BW287" s="31" t="str">
        <f>I287</f>
        <v>21</v>
      </c>
      <c r="BX287" s="4" t="s">
        <v>650</v>
      </c>
    </row>
    <row r="288" spans="1:76" ht="14.35" x14ac:dyDescent="0.5">
      <c r="A288" s="34"/>
      <c r="D288" s="35" t="s">
        <v>594</v>
      </c>
      <c r="E288" s="35" t="s">
        <v>651</v>
      </c>
      <c r="G288" s="36">
        <v>365</v>
      </c>
      <c r="P288" s="37"/>
    </row>
    <row r="289" spans="1:76" ht="14.35" x14ac:dyDescent="0.5">
      <c r="A289" s="34"/>
      <c r="D289" s="35" t="s">
        <v>652</v>
      </c>
      <c r="E289" s="35" t="s">
        <v>653</v>
      </c>
      <c r="G289" s="36">
        <v>13.2</v>
      </c>
      <c r="P289" s="37"/>
    </row>
    <row r="290" spans="1:76" ht="14.35" x14ac:dyDescent="0.5">
      <c r="A290" s="2" t="s">
        <v>654</v>
      </c>
      <c r="B290" s="3" t="s">
        <v>49</v>
      </c>
      <c r="C290" s="3" t="s">
        <v>655</v>
      </c>
      <c r="D290" s="72" t="s">
        <v>656</v>
      </c>
      <c r="E290" s="73"/>
      <c r="F290" s="3" t="s">
        <v>55</v>
      </c>
      <c r="G290" s="31">
        <v>11.85</v>
      </c>
      <c r="H290" s="71"/>
      <c r="I290" s="32" t="s">
        <v>56</v>
      </c>
      <c r="J290" s="31">
        <f>G290*AO290</f>
        <v>0</v>
      </c>
      <c r="K290" s="31">
        <f>G290*AP290</f>
        <v>0</v>
      </c>
      <c r="L290" s="31">
        <f>G290*H290</f>
        <v>0</v>
      </c>
      <c r="M290" s="31">
        <f>L290*(1+BW290/100)</f>
        <v>0</v>
      </c>
      <c r="N290" s="31">
        <v>0.55000000000000004</v>
      </c>
      <c r="O290" s="31">
        <f>G290*N290</f>
        <v>6.5175000000000001</v>
      </c>
      <c r="P290" s="33" t="s">
        <v>57</v>
      </c>
      <c r="Z290" s="31">
        <f>IF(AQ290="5",BJ290,0)</f>
        <v>0</v>
      </c>
      <c r="AB290" s="31">
        <f>IF(AQ290="1",BH290,0)</f>
        <v>0</v>
      </c>
      <c r="AC290" s="31">
        <f>IF(AQ290="1",BI290,0)</f>
        <v>0</v>
      </c>
      <c r="AD290" s="31">
        <f>IF(AQ290="7",BH290,0)</f>
        <v>0</v>
      </c>
      <c r="AE290" s="31">
        <f>IF(AQ290="7",BI290,0)</f>
        <v>0</v>
      </c>
      <c r="AF290" s="31">
        <f>IF(AQ290="2",BH290,0)</f>
        <v>0</v>
      </c>
      <c r="AG290" s="31">
        <f>IF(AQ290="2",BI290,0)</f>
        <v>0</v>
      </c>
      <c r="AH290" s="31">
        <f>IF(AQ290="0",BJ290,0)</f>
        <v>0</v>
      </c>
      <c r="AI290" s="12" t="s">
        <v>49</v>
      </c>
      <c r="AJ290" s="31">
        <f>IF(AN290=0,L290,0)</f>
        <v>0</v>
      </c>
      <c r="AK290" s="31">
        <f>IF(AN290=12,L290,0)</f>
        <v>0</v>
      </c>
      <c r="AL290" s="31">
        <f>IF(AN290=21,L290,0)</f>
        <v>0</v>
      </c>
      <c r="AN290" s="31">
        <v>21</v>
      </c>
      <c r="AO290" s="31">
        <f>H290*1</f>
        <v>0</v>
      </c>
      <c r="AP290" s="31">
        <f>H290*(1-1)</f>
        <v>0</v>
      </c>
      <c r="AQ290" s="32" t="s">
        <v>91</v>
      </c>
      <c r="AV290" s="31">
        <f>AW290+AX290</f>
        <v>0</v>
      </c>
      <c r="AW290" s="31">
        <f>G290*AO290</f>
        <v>0</v>
      </c>
      <c r="AX290" s="31">
        <f>G290*AP290</f>
        <v>0</v>
      </c>
      <c r="AY290" s="32" t="s">
        <v>460</v>
      </c>
      <c r="AZ290" s="32" t="s">
        <v>461</v>
      </c>
      <c r="BA290" s="12" t="s">
        <v>60</v>
      </c>
      <c r="BC290" s="31">
        <f>AW290+AX290</f>
        <v>0</v>
      </c>
      <c r="BD290" s="31">
        <f>H290/(100-BE290)*100</f>
        <v>0</v>
      </c>
      <c r="BE290" s="31">
        <v>0</v>
      </c>
      <c r="BF290" s="31">
        <f>O290</f>
        <v>6.5175000000000001</v>
      </c>
      <c r="BH290" s="31">
        <f>G290*AO290</f>
        <v>0</v>
      </c>
      <c r="BI290" s="31">
        <f>G290*AP290</f>
        <v>0</v>
      </c>
      <c r="BJ290" s="31">
        <f>G290*H290</f>
        <v>0</v>
      </c>
      <c r="BK290" s="31"/>
      <c r="BL290" s="31">
        <v>762</v>
      </c>
      <c r="BW290" s="31" t="str">
        <f>I290</f>
        <v>21</v>
      </c>
      <c r="BX290" s="4" t="s">
        <v>656</v>
      </c>
    </row>
    <row r="291" spans="1:76" ht="14.35" x14ac:dyDescent="0.5">
      <c r="A291" s="34"/>
      <c r="D291" s="35" t="s">
        <v>657</v>
      </c>
      <c r="E291" s="35" t="s">
        <v>651</v>
      </c>
      <c r="G291" s="36">
        <v>10.77</v>
      </c>
      <c r="P291" s="37"/>
    </row>
    <row r="292" spans="1:76" ht="14.35" x14ac:dyDescent="0.5">
      <c r="A292" s="34"/>
      <c r="D292" s="35" t="s">
        <v>658</v>
      </c>
      <c r="E292" s="35" t="s">
        <v>49</v>
      </c>
      <c r="G292" s="36">
        <v>1.08</v>
      </c>
      <c r="P292" s="37"/>
    </row>
    <row r="293" spans="1:76" ht="14.35" x14ac:dyDescent="0.5">
      <c r="A293" s="2" t="s">
        <v>659</v>
      </c>
      <c r="B293" s="3" t="s">
        <v>49</v>
      </c>
      <c r="C293" s="3" t="s">
        <v>660</v>
      </c>
      <c r="D293" s="72" t="s">
        <v>661</v>
      </c>
      <c r="E293" s="73"/>
      <c r="F293" s="3" t="s">
        <v>150</v>
      </c>
      <c r="G293" s="31">
        <v>67.5</v>
      </c>
      <c r="H293" s="71"/>
      <c r="I293" s="32" t="s">
        <v>56</v>
      </c>
      <c r="J293" s="31">
        <f>G293*AO293</f>
        <v>0</v>
      </c>
      <c r="K293" s="31">
        <f>G293*AP293</f>
        <v>0</v>
      </c>
      <c r="L293" s="31">
        <f>G293*H293</f>
        <v>0</v>
      </c>
      <c r="M293" s="31">
        <f>L293*(1+BW293/100)</f>
        <v>0</v>
      </c>
      <c r="N293" s="31">
        <v>1.4670000000000001E-2</v>
      </c>
      <c r="O293" s="31">
        <f>G293*N293</f>
        <v>0.99022500000000002</v>
      </c>
      <c r="P293" s="33" t="s">
        <v>57</v>
      </c>
      <c r="Z293" s="31">
        <f>IF(AQ293="5",BJ293,0)</f>
        <v>0</v>
      </c>
      <c r="AB293" s="31">
        <f>IF(AQ293="1",BH293,0)</f>
        <v>0</v>
      </c>
      <c r="AC293" s="31">
        <f>IF(AQ293="1",BI293,0)</f>
        <v>0</v>
      </c>
      <c r="AD293" s="31">
        <f>IF(AQ293="7",BH293,0)</f>
        <v>0</v>
      </c>
      <c r="AE293" s="31">
        <f>IF(AQ293="7",BI293,0)</f>
        <v>0</v>
      </c>
      <c r="AF293" s="31">
        <f>IF(AQ293="2",BH293,0)</f>
        <v>0</v>
      </c>
      <c r="AG293" s="31">
        <f>IF(AQ293="2",BI293,0)</f>
        <v>0</v>
      </c>
      <c r="AH293" s="31">
        <f>IF(AQ293="0",BJ293,0)</f>
        <v>0</v>
      </c>
      <c r="AI293" s="12" t="s">
        <v>49</v>
      </c>
      <c r="AJ293" s="31">
        <f>IF(AN293=0,L293,0)</f>
        <v>0</v>
      </c>
      <c r="AK293" s="31">
        <f>IF(AN293=12,L293,0)</f>
        <v>0</v>
      </c>
      <c r="AL293" s="31">
        <f>IF(AN293=21,L293,0)</f>
        <v>0</v>
      </c>
      <c r="AN293" s="31">
        <v>21</v>
      </c>
      <c r="AO293" s="31">
        <f>H293*0.478899254</f>
        <v>0</v>
      </c>
      <c r="AP293" s="31">
        <f>H293*(1-0.478899254)</f>
        <v>0</v>
      </c>
      <c r="AQ293" s="32" t="s">
        <v>91</v>
      </c>
      <c r="AV293" s="31">
        <f>AW293+AX293</f>
        <v>0</v>
      </c>
      <c r="AW293" s="31">
        <f>G293*AO293</f>
        <v>0</v>
      </c>
      <c r="AX293" s="31">
        <f>G293*AP293</f>
        <v>0</v>
      </c>
      <c r="AY293" s="32" t="s">
        <v>460</v>
      </c>
      <c r="AZ293" s="32" t="s">
        <v>461</v>
      </c>
      <c r="BA293" s="12" t="s">
        <v>60</v>
      </c>
      <c r="BC293" s="31">
        <f>AW293+AX293</f>
        <v>0</v>
      </c>
      <c r="BD293" s="31">
        <f>H293/(100-BE293)*100</f>
        <v>0</v>
      </c>
      <c r="BE293" s="31">
        <v>0</v>
      </c>
      <c r="BF293" s="31">
        <f>O293</f>
        <v>0.99022500000000002</v>
      </c>
      <c r="BH293" s="31">
        <f>G293*AO293</f>
        <v>0</v>
      </c>
      <c r="BI293" s="31">
        <f>G293*AP293</f>
        <v>0</v>
      </c>
      <c r="BJ293" s="31">
        <f>G293*H293</f>
        <v>0</v>
      </c>
      <c r="BK293" s="31"/>
      <c r="BL293" s="31">
        <v>762</v>
      </c>
      <c r="BW293" s="31" t="str">
        <f>I293</f>
        <v>21</v>
      </c>
      <c r="BX293" s="4" t="s">
        <v>661</v>
      </c>
    </row>
    <row r="294" spans="1:76" ht="14.35" x14ac:dyDescent="0.5">
      <c r="A294" s="34"/>
      <c r="D294" s="35" t="s">
        <v>601</v>
      </c>
      <c r="E294" s="35" t="s">
        <v>602</v>
      </c>
      <c r="G294" s="36">
        <v>67.5</v>
      </c>
      <c r="P294" s="37"/>
    </row>
    <row r="295" spans="1:76" ht="14.35" x14ac:dyDescent="0.5">
      <c r="A295" s="2" t="s">
        <v>662</v>
      </c>
      <c r="B295" s="3" t="s">
        <v>49</v>
      </c>
      <c r="C295" s="3" t="s">
        <v>663</v>
      </c>
      <c r="D295" s="72" t="s">
        <v>664</v>
      </c>
      <c r="E295" s="73"/>
      <c r="F295" s="3" t="s">
        <v>150</v>
      </c>
      <c r="G295" s="31">
        <v>106.2</v>
      </c>
      <c r="H295" s="71"/>
      <c r="I295" s="32" t="s">
        <v>56</v>
      </c>
      <c r="J295" s="31">
        <f>G295*AO295</f>
        <v>0</v>
      </c>
      <c r="K295" s="31">
        <f>G295*AP295</f>
        <v>0</v>
      </c>
      <c r="L295" s="31">
        <f>G295*H295</f>
        <v>0</v>
      </c>
      <c r="M295" s="31">
        <f>L295*(1+BW295/100)</f>
        <v>0</v>
      </c>
      <c r="N295" s="31">
        <v>1.602E-2</v>
      </c>
      <c r="O295" s="31">
        <f>G295*N295</f>
        <v>1.7013240000000001</v>
      </c>
      <c r="P295" s="33" t="s">
        <v>57</v>
      </c>
      <c r="Z295" s="31">
        <f>IF(AQ295="5",BJ295,0)</f>
        <v>0</v>
      </c>
      <c r="AB295" s="31">
        <f>IF(AQ295="1",BH295,0)</f>
        <v>0</v>
      </c>
      <c r="AC295" s="31">
        <f>IF(AQ295="1",BI295,0)</f>
        <v>0</v>
      </c>
      <c r="AD295" s="31">
        <f>IF(AQ295="7",BH295,0)</f>
        <v>0</v>
      </c>
      <c r="AE295" s="31">
        <f>IF(AQ295="7",BI295,0)</f>
        <v>0</v>
      </c>
      <c r="AF295" s="31">
        <f>IF(AQ295="2",BH295,0)</f>
        <v>0</v>
      </c>
      <c r="AG295" s="31">
        <f>IF(AQ295="2",BI295,0)</f>
        <v>0</v>
      </c>
      <c r="AH295" s="31">
        <f>IF(AQ295="0",BJ295,0)</f>
        <v>0</v>
      </c>
      <c r="AI295" s="12" t="s">
        <v>49</v>
      </c>
      <c r="AJ295" s="31">
        <f>IF(AN295=0,L295,0)</f>
        <v>0</v>
      </c>
      <c r="AK295" s="31">
        <f>IF(AN295=12,L295,0)</f>
        <v>0</v>
      </c>
      <c r="AL295" s="31">
        <f>IF(AN295=21,L295,0)</f>
        <v>0</v>
      </c>
      <c r="AN295" s="31">
        <v>21</v>
      </c>
      <c r="AO295" s="31">
        <f>H295*0.502212257</f>
        <v>0</v>
      </c>
      <c r="AP295" s="31">
        <f>H295*(1-0.502212257)</f>
        <v>0</v>
      </c>
      <c r="AQ295" s="32" t="s">
        <v>91</v>
      </c>
      <c r="AV295" s="31">
        <f>AW295+AX295</f>
        <v>0</v>
      </c>
      <c r="AW295" s="31">
        <f>G295*AO295</f>
        <v>0</v>
      </c>
      <c r="AX295" s="31">
        <f>G295*AP295</f>
        <v>0</v>
      </c>
      <c r="AY295" s="32" t="s">
        <v>460</v>
      </c>
      <c r="AZ295" s="32" t="s">
        <v>461</v>
      </c>
      <c r="BA295" s="12" t="s">
        <v>60</v>
      </c>
      <c r="BC295" s="31">
        <f>AW295+AX295</f>
        <v>0</v>
      </c>
      <c r="BD295" s="31">
        <f>H295/(100-BE295)*100</f>
        <v>0</v>
      </c>
      <c r="BE295" s="31">
        <v>0</v>
      </c>
      <c r="BF295" s="31">
        <f>O295</f>
        <v>1.7013240000000001</v>
      </c>
      <c r="BH295" s="31">
        <f>G295*AO295</f>
        <v>0</v>
      </c>
      <c r="BI295" s="31">
        <f>G295*AP295</f>
        <v>0</v>
      </c>
      <c r="BJ295" s="31">
        <f>G295*H295</f>
        <v>0</v>
      </c>
      <c r="BK295" s="31"/>
      <c r="BL295" s="31">
        <v>762</v>
      </c>
      <c r="BW295" s="31" t="str">
        <f>I295</f>
        <v>21</v>
      </c>
      <c r="BX295" s="4" t="s">
        <v>664</v>
      </c>
    </row>
    <row r="296" spans="1:76" ht="14.35" x14ac:dyDescent="0.5">
      <c r="A296" s="34"/>
      <c r="D296" s="35" t="s">
        <v>606</v>
      </c>
      <c r="E296" s="35" t="s">
        <v>607</v>
      </c>
      <c r="G296" s="36">
        <v>75</v>
      </c>
      <c r="P296" s="37"/>
    </row>
    <row r="297" spans="1:76" ht="14.35" x14ac:dyDescent="0.5">
      <c r="A297" s="34"/>
      <c r="D297" s="35" t="s">
        <v>620</v>
      </c>
      <c r="E297" s="35" t="s">
        <v>609</v>
      </c>
      <c r="G297" s="36">
        <v>31.2</v>
      </c>
      <c r="P297" s="37"/>
    </row>
    <row r="298" spans="1:76" ht="14.35" x14ac:dyDescent="0.5">
      <c r="A298" s="2" t="s">
        <v>665</v>
      </c>
      <c r="B298" s="3" t="s">
        <v>49</v>
      </c>
      <c r="C298" s="3" t="s">
        <v>666</v>
      </c>
      <c r="D298" s="72" t="s">
        <v>667</v>
      </c>
      <c r="E298" s="73"/>
      <c r="F298" s="3" t="s">
        <v>150</v>
      </c>
      <c r="G298" s="31">
        <v>72</v>
      </c>
      <c r="H298" s="71"/>
      <c r="I298" s="32" t="s">
        <v>56</v>
      </c>
      <c r="J298" s="31">
        <f>G298*AO298</f>
        <v>0</v>
      </c>
      <c r="K298" s="31">
        <f>G298*AP298</f>
        <v>0</v>
      </c>
      <c r="L298" s="31">
        <f>G298*H298</f>
        <v>0</v>
      </c>
      <c r="M298" s="31">
        <f>L298*(1+BW298/100)</f>
        <v>0</v>
      </c>
      <c r="N298" s="31">
        <v>2.6409999999999999E-2</v>
      </c>
      <c r="O298" s="31">
        <f>G298*N298</f>
        <v>1.9015199999999999</v>
      </c>
      <c r="P298" s="33" t="s">
        <v>57</v>
      </c>
      <c r="Z298" s="31">
        <f>IF(AQ298="5",BJ298,0)</f>
        <v>0</v>
      </c>
      <c r="AB298" s="31">
        <f>IF(AQ298="1",BH298,0)</f>
        <v>0</v>
      </c>
      <c r="AC298" s="31">
        <f>IF(AQ298="1",BI298,0)</f>
        <v>0</v>
      </c>
      <c r="AD298" s="31">
        <f>IF(AQ298="7",BH298,0)</f>
        <v>0</v>
      </c>
      <c r="AE298" s="31">
        <f>IF(AQ298="7",BI298,0)</f>
        <v>0</v>
      </c>
      <c r="AF298" s="31">
        <f>IF(AQ298="2",BH298,0)</f>
        <v>0</v>
      </c>
      <c r="AG298" s="31">
        <f>IF(AQ298="2",BI298,0)</f>
        <v>0</v>
      </c>
      <c r="AH298" s="31">
        <f>IF(AQ298="0",BJ298,0)</f>
        <v>0</v>
      </c>
      <c r="AI298" s="12" t="s">
        <v>49</v>
      </c>
      <c r="AJ298" s="31">
        <f>IF(AN298=0,L298,0)</f>
        <v>0</v>
      </c>
      <c r="AK298" s="31">
        <f>IF(AN298=12,L298,0)</f>
        <v>0</v>
      </c>
      <c r="AL298" s="31">
        <f>IF(AN298=21,L298,0)</f>
        <v>0</v>
      </c>
      <c r="AN298" s="31">
        <v>21</v>
      </c>
      <c r="AO298" s="31">
        <f>H298*0.570305118</f>
        <v>0</v>
      </c>
      <c r="AP298" s="31">
        <f>H298*(1-0.570305118)</f>
        <v>0</v>
      </c>
      <c r="AQ298" s="32" t="s">
        <v>91</v>
      </c>
      <c r="AV298" s="31">
        <f>AW298+AX298</f>
        <v>0</v>
      </c>
      <c r="AW298" s="31">
        <f>G298*AO298</f>
        <v>0</v>
      </c>
      <c r="AX298" s="31">
        <f>G298*AP298</f>
        <v>0</v>
      </c>
      <c r="AY298" s="32" t="s">
        <v>460</v>
      </c>
      <c r="AZ298" s="32" t="s">
        <v>461</v>
      </c>
      <c r="BA298" s="12" t="s">
        <v>60</v>
      </c>
      <c r="BC298" s="31">
        <f>AW298+AX298</f>
        <v>0</v>
      </c>
      <c r="BD298" s="31">
        <f>H298/(100-BE298)*100</f>
        <v>0</v>
      </c>
      <c r="BE298" s="31">
        <v>0</v>
      </c>
      <c r="BF298" s="31">
        <f>O298</f>
        <v>1.9015199999999999</v>
      </c>
      <c r="BH298" s="31">
        <f>G298*AO298</f>
        <v>0</v>
      </c>
      <c r="BI298" s="31">
        <f>G298*AP298</f>
        <v>0</v>
      </c>
      <c r="BJ298" s="31">
        <f>G298*H298</f>
        <v>0</v>
      </c>
      <c r="BK298" s="31"/>
      <c r="BL298" s="31">
        <v>762</v>
      </c>
      <c r="BW298" s="31" t="str">
        <f>I298</f>
        <v>21</v>
      </c>
      <c r="BX298" s="4" t="s">
        <v>667</v>
      </c>
    </row>
    <row r="299" spans="1:76" ht="14.35" x14ac:dyDescent="0.5">
      <c r="A299" s="34"/>
      <c r="D299" s="35" t="s">
        <v>613</v>
      </c>
      <c r="E299" s="35" t="s">
        <v>614</v>
      </c>
      <c r="G299" s="36">
        <v>27</v>
      </c>
      <c r="P299" s="37"/>
    </row>
    <row r="300" spans="1:76" ht="14.35" x14ac:dyDescent="0.5">
      <c r="A300" s="34"/>
      <c r="D300" s="35" t="s">
        <v>668</v>
      </c>
      <c r="E300" s="35" t="s">
        <v>616</v>
      </c>
      <c r="G300" s="36">
        <v>45</v>
      </c>
      <c r="P300" s="37"/>
    </row>
    <row r="301" spans="1:76" ht="14.35" x14ac:dyDescent="0.5">
      <c r="A301" s="2" t="s">
        <v>669</v>
      </c>
      <c r="B301" s="3" t="s">
        <v>49</v>
      </c>
      <c r="C301" s="3" t="s">
        <v>670</v>
      </c>
      <c r="D301" s="72" t="s">
        <v>671</v>
      </c>
      <c r="E301" s="73"/>
      <c r="F301" s="3" t="s">
        <v>150</v>
      </c>
      <c r="G301" s="31">
        <v>19</v>
      </c>
      <c r="H301" s="71"/>
      <c r="I301" s="32" t="s">
        <v>56</v>
      </c>
      <c r="J301" s="31">
        <f>G301*AO301</f>
        <v>0</v>
      </c>
      <c r="K301" s="31">
        <f>G301*AP301</f>
        <v>0</v>
      </c>
      <c r="L301" s="31">
        <f>G301*H301</f>
        <v>0</v>
      </c>
      <c r="M301" s="31">
        <f>L301*(1+BW301/100)</f>
        <v>0</v>
      </c>
      <c r="N301" s="31">
        <v>0</v>
      </c>
      <c r="O301" s="31">
        <f>G301*N301</f>
        <v>0</v>
      </c>
      <c r="P301" s="33" t="s">
        <v>57</v>
      </c>
      <c r="Z301" s="31">
        <f>IF(AQ301="5",BJ301,0)</f>
        <v>0</v>
      </c>
      <c r="AB301" s="31">
        <f>IF(AQ301="1",BH301,0)</f>
        <v>0</v>
      </c>
      <c r="AC301" s="31">
        <f>IF(AQ301="1",BI301,0)</f>
        <v>0</v>
      </c>
      <c r="AD301" s="31">
        <f>IF(AQ301="7",BH301,0)</f>
        <v>0</v>
      </c>
      <c r="AE301" s="31">
        <f>IF(AQ301="7",BI301,0)</f>
        <v>0</v>
      </c>
      <c r="AF301" s="31">
        <f>IF(AQ301="2",BH301,0)</f>
        <v>0</v>
      </c>
      <c r="AG301" s="31">
        <f>IF(AQ301="2",BI301,0)</f>
        <v>0</v>
      </c>
      <c r="AH301" s="31">
        <f>IF(AQ301="0",BJ301,0)</f>
        <v>0</v>
      </c>
      <c r="AI301" s="12" t="s">
        <v>49</v>
      </c>
      <c r="AJ301" s="31">
        <f>IF(AN301=0,L301,0)</f>
        <v>0</v>
      </c>
      <c r="AK301" s="31">
        <f>IF(AN301=12,L301,0)</f>
        <v>0</v>
      </c>
      <c r="AL301" s="31">
        <f>IF(AN301=21,L301,0)</f>
        <v>0</v>
      </c>
      <c r="AN301" s="31">
        <v>21</v>
      </c>
      <c r="AO301" s="31">
        <f>H301*0</f>
        <v>0</v>
      </c>
      <c r="AP301" s="31">
        <f>H301*(1-0)</f>
        <v>0</v>
      </c>
      <c r="AQ301" s="32" t="s">
        <v>91</v>
      </c>
      <c r="AV301" s="31">
        <f>AW301+AX301</f>
        <v>0</v>
      </c>
      <c r="AW301" s="31">
        <f>G301*AO301</f>
        <v>0</v>
      </c>
      <c r="AX301" s="31">
        <f>G301*AP301</f>
        <v>0</v>
      </c>
      <c r="AY301" s="32" t="s">
        <v>460</v>
      </c>
      <c r="AZ301" s="32" t="s">
        <v>461</v>
      </c>
      <c r="BA301" s="12" t="s">
        <v>60</v>
      </c>
      <c r="BC301" s="31">
        <f>AW301+AX301</f>
        <v>0</v>
      </c>
      <c r="BD301" s="31">
        <f>H301/(100-BE301)*100</f>
        <v>0</v>
      </c>
      <c r="BE301" s="31">
        <v>0</v>
      </c>
      <c r="BF301" s="31">
        <f>O301</f>
        <v>0</v>
      </c>
      <c r="BH301" s="31">
        <f>G301*AO301</f>
        <v>0</v>
      </c>
      <c r="BI301" s="31">
        <f>G301*AP301</f>
        <v>0</v>
      </c>
      <c r="BJ301" s="31">
        <f>G301*H301</f>
        <v>0</v>
      </c>
      <c r="BK301" s="31"/>
      <c r="BL301" s="31">
        <v>762</v>
      </c>
      <c r="BW301" s="31" t="str">
        <f>I301</f>
        <v>21</v>
      </c>
      <c r="BX301" s="4" t="s">
        <v>671</v>
      </c>
    </row>
    <row r="302" spans="1:76" ht="14.35" x14ac:dyDescent="0.5">
      <c r="A302" s="34"/>
      <c r="D302" s="35" t="s">
        <v>672</v>
      </c>
      <c r="E302" s="35" t="s">
        <v>673</v>
      </c>
      <c r="G302" s="36">
        <v>19</v>
      </c>
      <c r="P302" s="37"/>
    </row>
    <row r="303" spans="1:76" ht="14.35" x14ac:dyDescent="0.5">
      <c r="A303" s="2" t="s">
        <v>674</v>
      </c>
      <c r="B303" s="3" t="s">
        <v>49</v>
      </c>
      <c r="C303" s="3" t="s">
        <v>675</v>
      </c>
      <c r="D303" s="72" t="s">
        <v>676</v>
      </c>
      <c r="E303" s="73"/>
      <c r="F303" s="3" t="s">
        <v>179</v>
      </c>
      <c r="G303" s="31">
        <v>2</v>
      </c>
      <c r="H303" s="71"/>
      <c r="I303" s="32" t="s">
        <v>56</v>
      </c>
      <c r="J303" s="31">
        <f>G303*AO303</f>
        <v>0</v>
      </c>
      <c r="K303" s="31">
        <f>G303*AP303</f>
        <v>0</v>
      </c>
      <c r="L303" s="31">
        <f>G303*H303</f>
        <v>0</v>
      </c>
      <c r="M303" s="31">
        <f>L303*(1+BW303/100)</f>
        <v>0</v>
      </c>
      <c r="N303" s="31">
        <v>6.0999999999999997E-4</v>
      </c>
      <c r="O303" s="31">
        <f>G303*N303</f>
        <v>1.2199999999999999E-3</v>
      </c>
      <c r="P303" s="33" t="s">
        <v>57</v>
      </c>
      <c r="Z303" s="31">
        <f>IF(AQ303="5",BJ303,0)</f>
        <v>0</v>
      </c>
      <c r="AB303" s="31">
        <f>IF(AQ303="1",BH303,0)</f>
        <v>0</v>
      </c>
      <c r="AC303" s="31">
        <f>IF(AQ303="1",BI303,0)</f>
        <v>0</v>
      </c>
      <c r="AD303" s="31">
        <f>IF(AQ303="7",BH303,0)</f>
        <v>0</v>
      </c>
      <c r="AE303" s="31">
        <f>IF(AQ303="7",BI303,0)</f>
        <v>0</v>
      </c>
      <c r="AF303" s="31">
        <f>IF(AQ303="2",BH303,0)</f>
        <v>0</v>
      </c>
      <c r="AG303" s="31">
        <f>IF(AQ303="2",BI303,0)</f>
        <v>0</v>
      </c>
      <c r="AH303" s="31">
        <f>IF(AQ303="0",BJ303,0)</f>
        <v>0</v>
      </c>
      <c r="AI303" s="12" t="s">
        <v>49</v>
      </c>
      <c r="AJ303" s="31">
        <f>IF(AN303=0,L303,0)</f>
        <v>0</v>
      </c>
      <c r="AK303" s="31">
        <f>IF(AN303=12,L303,0)</f>
        <v>0</v>
      </c>
      <c r="AL303" s="31">
        <f>IF(AN303=21,L303,0)</f>
        <v>0</v>
      </c>
      <c r="AN303" s="31">
        <v>21</v>
      </c>
      <c r="AO303" s="31">
        <f>H303*0.002707654</f>
        <v>0</v>
      </c>
      <c r="AP303" s="31">
        <f>H303*(1-0.002707654)</f>
        <v>0</v>
      </c>
      <c r="AQ303" s="32" t="s">
        <v>91</v>
      </c>
      <c r="AV303" s="31">
        <f>AW303+AX303</f>
        <v>0</v>
      </c>
      <c r="AW303" s="31">
        <f>G303*AO303</f>
        <v>0</v>
      </c>
      <c r="AX303" s="31">
        <f>G303*AP303</f>
        <v>0</v>
      </c>
      <c r="AY303" s="32" t="s">
        <v>460</v>
      </c>
      <c r="AZ303" s="32" t="s">
        <v>461</v>
      </c>
      <c r="BA303" s="12" t="s">
        <v>60</v>
      </c>
      <c r="BC303" s="31">
        <f>AW303+AX303</f>
        <v>0</v>
      </c>
      <c r="BD303" s="31">
        <f>H303/(100-BE303)*100</f>
        <v>0</v>
      </c>
      <c r="BE303" s="31">
        <v>0</v>
      </c>
      <c r="BF303" s="31">
        <f>O303</f>
        <v>1.2199999999999999E-3</v>
      </c>
      <c r="BH303" s="31">
        <f>G303*AO303</f>
        <v>0</v>
      </c>
      <c r="BI303" s="31">
        <f>G303*AP303</f>
        <v>0</v>
      </c>
      <c r="BJ303" s="31">
        <f>G303*H303</f>
        <v>0</v>
      </c>
      <c r="BK303" s="31"/>
      <c r="BL303" s="31">
        <v>762</v>
      </c>
      <c r="BW303" s="31" t="str">
        <f>I303</f>
        <v>21</v>
      </c>
      <c r="BX303" s="4" t="s">
        <v>676</v>
      </c>
    </row>
    <row r="304" spans="1:76" ht="14.35" x14ac:dyDescent="0.5">
      <c r="A304" s="34"/>
      <c r="D304" s="35" t="s">
        <v>63</v>
      </c>
      <c r="E304" s="35" t="s">
        <v>677</v>
      </c>
      <c r="G304" s="36">
        <v>2</v>
      </c>
      <c r="P304" s="37"/>
    </row>
    <row r="305" spans="1:76" ht="14.35" x14ac:dyDescent="0.5">
      <c r="A305" s="2" t="s">
        <v>678</v>
      </c>
      <c r="B305" s="3" t="s">
        <v>49</v>
      </c>
      <c r="C305" s="3" t="s">
        <v>679</v>
      </c>
      <c r="D305" s="72" t="s">
        <v>680</v>
      </c>
      <c r="E305" s="73"/>
      <c r="F305" s="3" t="s">
        <v>125</v>
      </c>
      <c r="G305" s="31">
        <v>25.22</v>
      </c>
      <c r="H305" s="71"/>
      <c r="I305" s="32" t="s">
        <v>56</v>
      </c>
      <c r="J305" s="31">
        <f>G305*AO305</f>
        <v>0</v>
      </c>
      <c r="K305" s="31">
        <f>G305*AP305</f>
        <v>0</v>
      </c>
      <c r="L305" s="31">
        <f>G305*H305</f>
        <v>0</v>
      </c>
      <c r="M305" s="31">
        <f>L305*(1+BW305/100)</f>
        <v>0</v>
      </c>
      <c r="N305" s="31">
        <v>0</v>
      </c>
      <c r="O305" s="31">
        <f>G305*N305</f>
        <v>0</v>
      </c>
      <c r="P305" s="33" t="s">
        <v>57</v>
      </c>
      <c r="Z305" s="31">
        <f>IF(AQ305="5",BJ305,0)</f>
        <v>0</v>
      </c>
      <c r="AB305" s="31">
        <f>IF(AQ305="1",BH305,0)</f>
        <v>0</v>
      </c>
      <c r="AC305" s="31">
        <f>IF(AQ305="1",BI305,0)</f>
        <v>0</v>
      </c>
      <c r="AD305" s="31">
        <f>IF(AQ305="7",BH305,0)</f>
        <v>0</v>
      </c>
      <c r="AE305" s="31">
        <f>IF(AQ305="7",BI305,0)</f>
        <v>0</v>
      </c>
      <c r="AF305" s="31">
        <f>IF(AQ305="2",BH305,0)</f>
        <v>0</v>
      </c>
      <c r="AG305" s="31">
        <f>IF(AQ305="2",BI305,0)</f>
        <v>0</v>
      </c>
      <c r="AH305" s="31">
        <f>IF(AQ305="0",BJ305,0)</f>
        <v>0</v>
      </c>
      <c r="AI305" s="12" t="s">
        <v>49</v>
      </c>
      <c r="AJ305" s="31">
        <f>IF(AN305=0,L305,0)</f>
        <v>0</v>
      </c>
      <c r="AK305" s="31">
        <f>IF(AN305=12,L305,0)</f>
        <v>0</v>
      </c>
      <c r="AL305" s="31">
        <f>IF(AN305=21,L305,0)</f>
        <v>0</v>
      </c>
      <c r="AN305" s="31">
        <v>21</v>
      </c>
      <c r="AO305" s="31">
        <f>H305*0</f>
        <v>0</v>
      </c>
      <c r="AP305" s="31">
        <f>H305*(1-0)</f>
        <v>0</v>
      </c>
      <c r="AQ305" s="32" t="s">
        <v>91</v>
      </c>
      <c r="AV305" s="31">
        <f>AW305+AX305</f>
        <v>0</v>
      </c>
      <c r="AW305" s="31">
        <f>G305*AO305</f>
        <v>0</v>
      </c>
      <c r="AX305" s="31">
        <f>G305*AP305</f>
        <v>0</v>
      </c>
      <c r="AY305" s="32" t="s">
        <v>460</v>
      </c>
      <c r="AZ305" s="32" t="s">
        <v>461</v>
      </c>
      <c r="BA305" s="12" t="s">
        <v>60</v>
      </c>
      <c r="BC305" s="31">
        <f>AW305+AX305</f>
        <v>0</v>
      </c>
      <c r="BD305" s="31">
        <f>H305/(100-BE305)*100</f>
        <v>0</v>
      </c>
      <c r="BE305" s="31">
        <v>0</v>
      </c>
      <c r="BF305" s="31">
        <f>O305</f>
        <v>0</v>
      </c>
      <c r="BH305" s="31">
        <f>G305*AO305</f>
        <v>0</v>
      </c>
      <c r="BI305" s="31">
        <f>G305*AP305</f>
        <v>0</v>
      </c>
      <c r="BJ305" s="31">
        <f>G305*H305</f>
        <v>0</v>
      </c>
      <c r="BK305" s="31"/>
      <c r="BL305" s="31">
        <v>762</v>
      </c>
      <c r="BW305" s="31" t="str">
        <f>I305</f>
        <v>21</v>
      </c>
      <c r="BX305" s="4" t="s">
        <v>680</v>
      </c>
    </row>
    <row r="306" spans="1:76" ht="14.35" x14ac:dyDescent="0.5">
      <c r="A306" s="34"/>
      <c r="D306" s="35" t="s">
        <v>681</v>
      </c>
      <c r="E306" s="35" t="s">
        <v>682</v>
      </c>
      <c r="G306" s="36">
        <v>19.440000000000001</v>
      </c>
      <c r="P306" s="37"/>
    </row>
    <row r="307" spans="1:76" ht="14.35" x14ac:dyDescent="0.5">
      <c r="A307" s="34"/>
      <c r="D307" s="35" t="s">
        <v>683</v>
      </c>
      <c r="E307" s="35" t="s">
        <v>684</v>
      </c>
      <c r="G307" s="36">
        <v>5.78</v>
      </c>
      <c r="P307" s="37"/>
    </row>
    <row r="308" spans="1:76" ht="14.35" x14ac:dyDescent="0.5">
      <c r="A308" s="2" t="s">
        <v>685</v>
      </c>
      <c r="B308" s="3" t="s">
        <v>49</v>
      </c>
      <c r="C308" s="3" t="s">
        <v>686</v>
      </c>
      <c r="D308" s="72" t="s">
        <v>687</v>
      </c>
      <c r="E308" s="73"/>
      <c r="F308" s="3" t="s">
        <v>55</v>
      </c>
      <c r="G308" s="31">
        <v>0.69</v>
      </c>
      <c r="H308" s="71"/>
      <c r="I308" s="32" t="s">
        <v>56</v>
      </c>
      <c r="J308" s="31">
        <f>G308*AO308</f>
        <v>0</v>
      </c>
      <c r="K308" s="31">
        <f>G308*AP308</f>
        <v>0</v>
      </c>
      <c r="L308" s="31">
        <f>G308*H308</f>
        <v>0</v>
      </c>
      <c r="M308" s="31">
        <f>L308*(1+BW308/100)</f>
        <v>0</v>
      </c>
      <c r="N308" s="31">
        <v>0.55000000000000004</v>
      </c>
      <c r="O308" s="31">
        <f>G308*N308</f>
        <v>0.3795</v>
      </c>
      <c r="P308" s="33" t="s">
        <v>57</v>
      </c>
      <c r="Z308" s="31">
        <f>IF(AQ308="5",BJ308,0)</f>
        <v>0</v>
      </c>
      <c r="AB308" s="31">
        <f>IF(AQ308="1",BH308,0)</f>
        <v>0</v>
      </c>
      <c r="AC308" s="31">
        <f>IF(AQ308="1",BI308,0)</f>
        <v>0</v>
      </c>
      <c r="AD308" s="31">
        <f>IF(AQ308="7",BH308,0)</f>
        <v>0</v>
      </c>
      <c r="AE308" s="31">
        <f>IF(AQ308="7",BI308,0)</f>
        <v>0</v>
      </c>
      <c r="AF308" s="31">
        <f>IF(AQ308="2",BH308,0)</f>
        <v>0</v>
      </c>
      <c r="AG308" s="31">
        <f>IF(AQ308="2",BI308,0)</f>
        <v>0</v>
      </c>
      <c r="AH308" s="31">
        <f>IF(AQ308="0",BJ308,0)</f>
        <v>0</v>
      </c>
      <c r="AI308" s="12" t="s">
        <v>49</v>
      </c>
      <c r="AJ308" s="31">
        <f>IF(AN308=0,L308,0)</f>
        <v>0</v>
      </c>
      <c r="AK308" s="31">
        <f>IF(AN308=12,L308,0)</f>
        <v>0</v>
      </c>
      <c r="AL308" s="31">
        <f>IF(AN308=21,L308,0)</f>
        <v>0</v>
      </c>
      <c r="AN308" s="31">
        <v>21</v>
      </c>
      <c r="AO308" s="31">
        <f>H308*1</f>
        <v>0</v>
      </c>
      <c r="AP308" s="31">
        <f>H308*(1-1)</f>
        <v>0</v>
      </c>
      <c r="AQ308" s="32" t="s">
        <v>91</v>
      </c>
      <c r="AV308" s="31">
        <f>AW308+AX308</f>
        <v>0</v>
      </c>
      <c r="AW308" s="31">
        <f>G308*AO308</f>
        <v>0</v>
      </c>
      <c r="AX308" s="31">
        <f>G308*AP308</f>
        <v>0</v>
      </c>
      <c r="AY308" s="32" t="s">
        <v>460</v>
      </c>
      <c r="AZ308" s="32" t="s">
        <v>461</v>
      </c>
      <c r="BA308" s="12" t="s">
        <v>60</v>
      </c>
      <c r="BC308" s="31">
        <f>AW308+AX308</f>
        <v>0</v>
      </c>
      <c r="BD308" s="31">
        <f>H308/(100-BE308)*100</f>
        <v>0</v>
      </c>
      <c r="BE308" s="31">
        <v>0</v>
      </c>
      <c r="BF308" s="31">
        <f>O308</f>
        <v>0.3795</v>
      </c>
      <c r="BH308" s="31">
        <f>G308*AO308</f>
        <v>0</v>
      </c>
      <c r="BI308" s="31">
        <f>G308*AP308</f>
        <v>0</v>
      </c>
      <c r="BJ308" s="31">
        <f>G308*H308</f>
        <v>0</v>
      </c>
      <c r="BK308" s="31"/>
      <c r="BL308" s="31">
        <v>762</v>
      </c>
      <c r="BW308" s="31" t="str">
        <f>I308</f>
        <v>21</v>
      </c>
      <c r="BX308" s="4" t="s">
        <v>687</v>
      </c>
    </row>
    <row r="309" spans="1:76" ht="14.35" x14ac:dyDescent="0.5">
      <c r="A309" s="34"/>
      <c r="D309" s="35" t="s">
        <v>688</v>
      </c>
      <c r="E309" s="35" t="s">
        <v>49</v>
      </c>
      <c r="G309" s="36">
        <v>0.63</v>
      </c>
      <c r="P309" s="37"/>
    </row>
    <row r="310" spans="1:76" ht="14.35" x14ac:dyDescent="0.5">
      <c r="A310" s="34"/>
      <c r="D310" s="35" t="s">
        <v>689</v>
      </c>
      <c r="E310" s="35" t="s">
        <v>49</v>
      </c>
      <c r="G310" s="36">
        <v>0.06</v>
      </c>
      <c r="P310" s="37"/>
    </row>
    <row r="311" spans="1:76" ht="14.35" x14ac:dyDescent="0.5">
      <c r="A311" s="2" t="s">
        <v>690</v>
      </c>
      <c r="B311" s="3" t="s">
        <v>49</v>
      </c>
      <c r="C311" s="3" t="s">
        <v>691</v>
      </c>
      <c r="D311" s="72" t="s">
        <v>692</v>
      </c>
      <c r="E311" s="73"/>
      <c r="F311" s="3" t="s">
        <v>125</v>
      </c>
      <c r="G311" s="31">
        <v>25.22</v>
      </c>
      <c r="H311" s="71"/>
      <c r="I311" s="32" t="s">
        <v>56</v>
      </c>
      <c r="J311" s="31">
        <f>G311*AO311</f>
        <v>0</v>
      </c>
      <c r="K311" s="31">
        <f>G311*AP311</f>
        <v>0</v>
      </c>
      <c r="L311" s="31">
        <f>G311*H311</f>
        <v>0</v>
      </c>
      <c r="M311" s="31">
        <f>L311*(1+BW311/100)</f>
        <v>0</v>
      </c>
      <c r="N311" s="31">
        <v>1.4999999999999999E-2</v>
      </c>
      <c r="O311" s="31">
        <f>G311*N311</f>
        <v>0.37829999999999997</v>
      </c>
      <c r="P311" s="33" t="s">
        <v>57</v>
      </c>
      <c r="Z311" s="31">
        <f>IF(AQ311="5",BJ311,0)</f>
        <v>0</v>
      </c>
      <c r="AB311" s="31">
        <f>IF(AQ311="1",BH311,0)</f>
        <v>0</v>
      </c>
      <c r="AC311" s="31">
        <f>IF(AQ311="1",BI311,0)</f>
        <v>0</v>
      </c>
      <c r="AD311" s="31">
        <f>IF(AQ311="7",BH311,0)</f>
        <v>0</v>
      </c>
      <c r="AE311" s="31">
        <f>IF(AQ311="7",BI311,0)</f>
        <v>0</v>
      </c>
      <c r="AF311" s="31">
        <f>IF(AQ311="2",BH311,0)</f>
        <v>0</v>
      </c>
      <c r="AG311" s="31">
        <f>IF(AQ311="2",BI311,0)</f>
        <v>0</v>
      </c>
      <c r="AH311" s="31">
        <f>IF(AQ311="0",BJ311,0)</f>
        <v>0</v>
      </c>
      <c r="AI311" s="12" t="s">
        <v>49</v>
      </c>
      <c r="AJ311" s="31">
        <f>IF(AN311=0,L311,0)</f>
        <v>0</v>
      </c>
      <c r="AK311" s="31">
        <f>IF(AN311=12,L311,0)</f>
        <v>0</v>
      </c>
      <c r="AL311" s="31">
        <f>IF(AN311=21,L311,0)</f>
        <v>0</v>
      </c>
      <c r="AN311" s="31">
        <v>21</v>
      </c>
      <c r="AO311" s="31">
        <f>H311*0</f>
        <v>0</v>
      </c>
      <c r="AP311" s="31">
        <f>H311*(1-0)</f>
        <v>0</v>
      </c>
      <c r="AQ311" s="32" t="s">
        <v>91</v>
      </c>
      <c r="AV311" s="31">
        <f>AW311+AX311</f>
        <v>0</v>
      </c>
      <c r="AW311" s="31">
        <f>G311*AO311</f>
        <v>0</v>
      </c>
      <c r="AX311" s="31">
        <f>G311*AP311</f>
        <v>0</v>
      </c>
      <c r="AY311" s="32" t="s">
        <v>460</v>
      </c>
      <c r="AZ311" s="32" t="s">
        <v>461</v>
      </c>
      <c r="BA311" s="12" t="s">
        <v>60</v>
      </c>
      <c r="BC311" s="31">
        <f>AW311+AX311</f>
        <v>0</v>
      </c>
      <c r="BD311" s="31">
        <f>H311/(100-BE311)*100</f>
        <v>0</v>
      </c>
      <c r="BE311" s="31">
        <v>0</v>
      </c>
      <c r="BF311" s="31">
        <f>O311</f>
        <v>0.37829999999999997</v>
      </c>
      <c r="BH311" s="31">
        <f>G311*AO311</f>
        <v>0</v>
      </c>
      <c r="BI311" s="31">
        <f>G311*AP311</f>
        <v>0</v>
      </c>
      <c r="BJ311" s="31">
        <f>G311*H311</f>
        <v>0</v>
      </c>
      <c r="BK311" s="31"/>
      <c r="BL311" s="31">
        <v>762</v>
      </c>
      <c r="BW311" s="31" t="str">
        <f>I311</f>
        <v>21</v>
      </c>
      <c r="BX311" s="4" t="s">
        <v>692</v>
      </c>
    </row>
    <row r="312" spans="1:76" ht="14.35" x14ac:dyDescent="0.5">
      <c r="A312" s="2" t="s">
        <v>693</v>
      </c>
      <c r="B312" s="3" t="s">
        <v>49</v>
      </c>
      <c r="C312" s="3" t="s">
        <v>694</v>
      </c>
      <c r="D312" s="72" t="s">
        <v>695</v>
      </c>
      <c r="E312" s="73"/>
      <c r="F312" s="3" t="s">
        <v>125</v>
      </c>
      <c r="G312" s="31">
        <v>825.92</v>
      </c>
      <c r="H312" s="71"/>
      <c r="I312" s="32" t="s">
        <v>56</v>
      </c>
      <c r="J312" s="31">
        <f>G312*AO312</f>
        <v>0</v>
      </c>
      <c r="K312" s="31">
        <f>G312*AP312</f>
        <v>0</v>
      </c>
      <c r="L312" s="31">
        <f>G312*H312</f>
        <v>0</v>
      </c>
      <c r="M312" s="31">
        <f>L312*(1+BW312/100)</f>
        <v>0</v>
      </c>
      <c r="N312" s="31">
        <v>0</v>
      </c>
      <c r="O312" s="31">
        <f>G312*N312</f>
        <v>0</v>
      </c>
      <c r="P312" s="33" t="s">
        <v>57</v>
      </c>
      <c r="Z312" s="31">
        <f>IF(AQ312="5",BJ312,0)</f>
        <v>0</v>
      </c>
      <c r="AB312" s="31">
        <f>IF(AQ312="1",BH312,0)</f>
        <v>0</v>
      </c>
      <c r="AC312" s="31">
        <f>IF(AQ312="1",BI312,0)</f>
        <v>0</v>
      </c>
      <c r="AD312" s="31">
        <f>IF(AQ312="7",BH312,0)</f>
        <v>0</v>
      </c>
      <c r="AE312" s="31">
        <f>IF(AQ312="7",BI312,0)</f>
        <v>0</v>
      </c>
      <c r="AF312" s="31">
        <f>IF(AQ312="2",BH312,0)</f>
        <v>0</v>
      </c>
      <c r="AG312" s="31">
        <f>IF(AQ312="2",BI312,0)</f>
        <v>0</v>
      </c>
      <c r="AH312" s="31">
        <f>IF(AQ312="0",BJ312,0)</f>
        <v>0</v>
      </c>
      <c r="AI312" s="12" t="s">
        <v>49</v>
      </c>
      <c r="AJ312" s="31">
        <f>IF(AN312=0,L312,0)</f>
        <v>0</v>
      </c>
      <c r="AK312" s="31">
        <f>IF(AN312=12,L312,0)</f>
        <v>0</v>
      </c>
      <c r="AL312" s="31">
        <f>IF(AN312=21,L312,0)</f>
        <v>0</v>
      </c>
      <c r="AN312" s="31">
        <v>21</v>
      </c>
      <c r="AO312" s="31">
        <f>H312*0</f>
        <v>0</v>
      </c>
      <c r="AP312" s="31">
        <f>H312*(1-0)</f>
        <v>0</v>
      </c>
      <c r="AQ312" s="32" t="s">
        <v>91</v>
      </c>
      <c r="AV312" s="31">
        <f>AW312+AX312</f>
        <v>0</v>
      </c>
      <c r="AW312" s="31">
        <f>G312*AO312</f>
        <v>0</v>
      </c>
      <c r="AX312" s="31">
        <f>G312*AP312</f>
        <v>0</v>
      </c>
      <c r="AY312" s="32" t="s">
        <v>460</v>
      </c>
      <c r="AZ312" s="32" t="s">
        <v>461</v>
      </c>
      <c r="BA312" s="12" t="s">
        <v>60</v>
      </c>
      <c r="BC312" s="31">
        <f>AW312+AX312</f>
        <v>0</v>
      </c>
      <c r="BD312" s="31">
        <f>H312/(100-BE312)*100</f>
        <v>0</v>
      </c>
      <c r="BE312" s="31">
        <v>0</v>
      </c>
      <c r="BF312" s="31">
        <f>O312</f>
        <v>0</v>
      </c>
      <c r="BH312" s="31">
        <f>G312*AO312</f>
        <v>0</v>
      </c>
      <c r="BI312" s="31">
        <f>G312*AP312</f>
        <v>0</v>
      </c>
      <c r="BJ312" s="31">
        <f>G312*H312</f>
        <v>0</v>
      </c>
      <c r="BK312" s="31"/>
      <c r="BL312" s="31">
        <v>762</v>
      </c>
      <c r="BW312" s="31" t="str">
        <f>I312</f>
        <v>21</v>
      </c>
      <c r="BX312" s="4" t="s">
        <v>695</v>
      </c>
    </row>
    <row r="313" spans="1:76" ht="14.35" x14ac:dyDescent="0.5">
      <c r="A313" s="34"/>
      <c r="D313" s="35" t="s">
        <v>696</v>
      </c>
      <c r="E313" s="35" t="s">
        <v>697</v>
      </c>
      <c r="G313" s="36">
        <v>351.58</v>
      </c>
      <c r="P313" s="37"/>
    </row>
    <row r="314" spans="1:76" ht="14.35" x14ac:dyDescent="0.5">
      <c r="A314" s="34"/>
      <c r="D314" s="35" t="s">
        <v>698</v>
      </c>
      <c r="E314" s="35" t="s">
        <v>699</v>
      </c>
      <c r="G314" s="36">
        <v>346.05</v>
      </c>
      <c r="P314" s="37"/>
    </row>
    <row r="315" spans="1:76" ht="14.35" x14ac:dyDescent="0.5">
      <c r="A315" s="34"/>
      <c r="D315" s="35" t="s">
        <v>700</v>
      </c>
      <c r="E315" s="35" t="s">
        <v>701</v>
      </c>
      <c r="G315" s="36">
        <v>71.67</v>
      </c>
      <c r="P315" s="37"/>
    </row>
    <row r="316" spans="1:76" ht="14.35" x14ac:dyDescent="0.5">
      <c r="A316" s="34"/>
      <c r="D316" s="35" t="s">
        <v>702</v>
      </c>
      <c r="E316" s="35" t="s">
        <v>703</v>
      </c>
      <c r="G316" s="36">
        <v>56.62</v>
      </c>
      <c r="P316" s="37"/>
    </row>
    <row r="317" spans="1:76" ht="14.35" x14ac:dyDescent="0.5">
      <c r="A317" s="2" t="s">
        <v>704</v>
      </c>
      <c r="B317" s="3" t="s">
        <v>49</v>
      </c>
      <c r="C317" s="3" t="s">
        <v>705</v>
      </c>
      <c r="D317" s="72" t="s">
        <v>706</v>
      </c>
      <c r="E317" s="73"/>
      <c r="F317" s="3" t="s">
        <v>150</v>
      </c>
      <c r="G317" s="31">
        <v>6056.74</v>
      </c>
      <c r="H317" s="71"/>
      <c r="I317" s="32" t="s">
        <v>56</v>
      </c>
      <c r="J317" s="31">
        <f>G317*AO317</f>
        <v>0</v>
      </c>
      <c r="K317" s="31">
        <f>G317*AP317</f>
        <v>0</v>
      </c>
      <c r="L317" s="31">
        <f>G317*H317</f>
        <v>0</v>
      </c>
      <c r="M317" s="31">
        <f>L317*(1+BW317/100)</f>
        <v>0</v>
      </c>
      <c r="N317" s="31">
        <v>1.32E-3</v>
      </c>
      <c r="O317" s="31">
        <f>G317*N317</f>
        <v>7.9948967999999994</v>
      </c>
      <c r="P317" s="33" t="s">
        <v>57</v>
      </c>
      <c r="Z317" s="31">
        <f>IF(AQ317="5",BJ317,0)</f>
        <v>0</v>
      </c>
      <c r="AB317" s="31">
        <f>IF(AQ317="1",BH317,0)</f>
        <v>0</v>
      </c>
      <c r="AC317" s="31">
        <f>IF(AQ317="1",BI317,0)</f>
        <v>0</v>
      </c>
      <c r="AD317" s="31">
        <f>IF(AQ317="7",BH317,0)</f>
        <v>0</v>
      </c>
      <c r="AE317" s="31">
        <f>IF(AQ317="7",BI317,0)</f>
        <v>0</v>
      </c>
      <c r="AF317" s="31">
        <f>IF(AQ317="2",BH317,0)</f>
        <v>0</v>
      </c>
      <c r="AG317" s="31">
        <f>IF(AQ317="2",BI317,0)</f>
        <v>0</v>
      </c>
      <c r="AH317" s="31">
        <f>IF(AQ317="0",BJ317,0)</f>
        <v>0</v>
      </c>
      <c r="AI317" s="12" t="s">
        <v>49</v>
      </c>
      <c r="AJ317" s="31">
        <f>IF(AN317=0,L317,0)</f>
        <v>0</v>
      </c>
      <c r="AK317" s="31">
        <f>IF(AN317=12,L317,0)</f>
        <v>0</v>
      </c>
      <c r="AL317" s="31">
        <f>IF(AN317=21,L317,0)</f>
        <v>0</v>
      </c>
      <c r="AN317" s="31">
        <v>21</v>
      </c>
      <c r="AO317" s="31">
        <f>H317*1</f>
        <v>0</v>
      </c>
      <c r="AP317" s="31">
        <f>H317*(1-1)</f>
        <v>0</v>
      </c>
      <c r="AQ317" s="32" t="s">
        <v>91</v>
      </c>
      <c r="AV317" s="31">
        <f>AW317+AX317</f>
        <v>0</v>
      </c>
      <c r="AW317" s="31">
        <f>G317*AO317</f>
        <v>0</v>
      </c>
      <c r="AX317" s="31">
        <f>G317*AP317</f>
        <v>0</v>
      </c>
      <c r="AY317" s="32" t="s">
        <v>460</v>
      </c>
      <c r="AZ317" s="32" t="s">
        <v>461</v>
      </c>
      <c r="BA317" s="12" t="s">
        <v>60</v>
      </c>
      <c r="BC317" s="31">
        <f>AW317+AX317</f>
        <v>0</v>
      </c>
      <c r="BD317" s="31">
        <f>H317/(100-BE317)*100</f>
        <v>0</v>
      </c>
      <c r="BE317" s="31">
        <v>0</v>
      </c>
      <c r="BF317" s="31">
        <f>O317</f>
        <v>7.9948967999999994</v>
      </c>
      <c r="BH317" s="31">
        <f>G317*AO317</f>
        <v>0</v>
      </c>
      <c r="BI317" s="31">
        <f>G317*AP317</f>
        <v>0</v>
      </c>
      <c r="BJ317" s="31">
        <f>G317*H317</f>
        <v>0</v>
      </c>
      <c r="BK317" s="31"/>
      <c r="BL317" s="31">
        <v>762</v>
      </c>
      <c r="BW317" s="31" t="str">
        <f>I317</f>
        <v>21</v>
      </c>
      <c r="BX317" s="4" t="s">
        <v>706</v>
      </c>
    </row>
    <row r="318" spans="1:76" ht="14.35" x14ac:dyDescent="0.5">
      <c r="A318" s="34"/>
      <c r="D318" s="35" t="s">
        <v>707</v>
      </c>
      <c r="E318" s="35" t="s">
        <v>49</v>
      </c>
      <c r="G318" s="36">
        <v>5506.13</v>
      </c>
      <c r="P318" s="37"/>
    </row>
    <row r="319" spans="1:76" ht="14.35" x14ac:dyDescent="0.5">
      <c r="A319" s="34"/>
      <c r="D319" s="35" t="s">
        <v>708</v>
      </c>
      <c r="E319" s="35" t="s">
        <v>49</v>
      </c>
      <c r="G319" s="36">
        <v>550.61</v>
      </c>
      <c r="P319" s="37"/>
    </row>
    <row r="320" spans="1:76" ht="14.35" x14ac:dyDescent="0.5">
      <c r="A320" s="2" t="s">
        <v>709</v>
      </c>
      <c r="B320" s="3" t="s">
        <v>49</v>
      </c>
      <c r="C320" s="3" t="s">
        <v>710</v>
      </c>
      <c r="D320" s="72" t="s">
        <v>711</v>
      </c>
      <c r="E320" s="73"/>
      <c r="F320" s="3" t="s">
        <v>125</v>
      </c>
      <c r="G320" s="31">
        <v>825.92</v>
      </c>
      <c r="H320" s="71"/>
      <c r="I320" s="32" t="s">
        <v>56</v>
      </c>
      <c r="J320" s="31">
        <f>G320*AO320</f>
        <v>0</v>
      </c>
      <c r="K320" s="31">
        <f>G320*AP320</f>
        <v>0</v>
      </c>
      <c r="L320" s="31">
        <f>G320*H320</f>
        <v>0</v>
      </c>
      <c r="M320" s="31">
        <f>L320*(1+BW320/100)</f>
        <v>0</v>
      </c>
      <c r="N320" s="31">
        <v>7.0000000000000001E-3</v>
      </c>
      <c r="O320" s="31">
        <f>G320*N320</f>
        <v>5.7814399999999999</v>
      </c>
      <c r="P320" s="33" t="s">
        <v>57</v>
      </c>
      <c r="Z320" s="31">
        <f>IF(AQ320="5",BJ320,0)</f>
        <v>0</v>
      </c>
      <c r="AB320" s="31">
        <f>IF(AQ320="1",BH320,0)</f>
        <v>0</v>
      </c>
      <c r="AC320" s="31">
        <f>IF(AQ320="1",BI320,0)</f>
        <v>0</v>
      </c>
      <c r="AD320" s="31">
        <f>IF(AQ320="7",BH320,0)</f>
        <v>0</v>
      </c>
      <c r="AE320" s="31">
        <f>IF(AQ320="7",BI320,0)</f>
        <v>0</v>
      </c>
      <c r="AF320" s="31">
        <f>IF(AQ320="2",BH320,0)</f>
        <v>0</v>
      </c>
      <c r="AG320" s="31">
        <f>IF(AQ320="2",BI320,0)</f>
        <v>0</v>
      </c>
      <c r="AH320" s="31">
        <f>IF(AQ320="0",BJ320,0)</f>
        <v>0</v>
      </c>
      <c r="AI320" s="12" t="s">
        <v>49</v>
      </c>
      <c r="AJ320" s="31">
        <f>IF(AN320=0,L320,0)</f>
        <v>0</v>
      </c>
      <c r="AK320" s="31">
        <f>IF(AN320=12,L320,0)</f>
        <v>0</v>
      </c>
      <c r="AL320" s="31">
        <f>IF(AN320=21,L320,0)</f>
        <v>0</v>
      </c>
      <c r="AN320" s="31">
        <v>21</v>
      </c>
      <c r="AO320" s="31">
        <f>H320*0</f>
        <v>0</v>
      </c>
      <c r="AP320" s="31">
        <f>H320*(1-0)</f>
        <v>0</v>
      </c>
      <c r="AQ320" s="32" t="s">
        <v>91</v>
      </c>
      <c r="AV320" s="31">
        <f>AW320+AX320</f>
        <v>0</v>
      </c>
      <c r="AW320" s="31">
        <f>G320*AO320</f>
        <v>0</v>
      </c>
      <c r="AX320" s="31">
        <f>G320*AP320</f>
        <v>0</v>
      </c>
      <c r="AY320" s="32" t="s">
        <v>460</v>
      </c>
      <c r="AZ320" s="32" t="s">
        <v>461</v>
      </c>
      <c r="BA320" s="12" t="s">
        <v>60</v>
      </c>
      <c r="BC320" s="31">
        <f>AW320+AX320</f>
        <v>0</v>
      </c>
      <c r="BD320" s="31">
        <f>H320/(100-BE320)*100</f>
        <v>0</v>
      </c>
      <c r="BE320" s="31">
        <v>0</v>
      </c>
      <c r="BF320" s="31">
        <f>O320</f>
        <v>5.7814399999999999</v>
      </c>
      <c r="BH320" s="31">
        <f>G320*AO320</f>
        <v>0</v>
      </c>
      <c r="BI320" s="31">
        <f>G320*AP320</f>
        <v>0</v>
      </c>
      <c r="BJ320" s="31">
        <f>G320*H320</f>
        <v>0</v>
      </c>
      <c r="BK320" s="31"/>
      <c r="BL320" s="31">
        <v>762</v>
      </c>
      <c r="BW320" s="31" t="str">
        <f>I320</f>
        <v>21</v>
      </c>
      <c r="BX320" s="4" t="s">
        <v>711</v>
      </c>
    </row>
    <row r="321" spans="1:76" ht="14.35" x14ac:dyDescent="0.5">
      <c r="A321" s="2" t="s">
        <v>712</v>
      </c>
      <c r="B321" s="3" t="s">
        <v>49</v>
      </c>
      <c r="C321" s="3" t="s">
        <v>713</v>
      </c>
      <c r="D321" s="72" t="s">
        <v>714</v>
      </c>
      <c r="E321" s="73"/>
      <c r="F321" s="3" t="s">
        <v>179</v>
      </c>
      <c r="G321" s="31">
        <v>14</v>
      </c>
      <c r="H321" s="71"/>
      <c r="I321" s="32" t="s">
        <v>56</v>
      </c>
      <c r="J321" s="31">
        <f>G321*AO321</f>
        <v>0</v>
      </c>
      <c r="K321" s="31">
        <f>G321*AP321</f>
        <v>0</v>
      </c>
      <c r="L321" s="31">
        <f>G321*H321</f>
        <v>0</v>
      </c>
      <c r="M321" s="31">
        <f>L321*(1+BW321/100)</f>
        <v>0</v>
      </c>
      <c r="N321" s="31">
        <v>0</v>
      </c>
      <c r="O321" s="31">
        <f>G321*N321</f>
        <v>0</v>
      </c>
      <c r="P321" s="33" t="s">
        <v>57</v>
      </c>
      <c r="Z321" s="31">
        <f>IF(AQ321="5",BJ321,0)</f>
        <v>0</v>
      </c>
      <c r="AB321" s="31">
        <f>IF(AQ321="1",BH321,0)</f>
        <v>0</v>
      </c>
      <c r="AC321" s="31">
        <f>IF(AQ321="1",BI321,0)</f>
        <v>0</v>
      </c>
      <c r="AD321" s="31">
        <f>IF(AQ321="7",BH321,0)</f>
        <v>0</v>
      </c>
      <c r="AE321" s="31">
        <f>IF(AQ321="7",BI321,0)</f>
        <v>0</v>
      </c>
      <c r="AF321" s="31">
        <f>IF(AQ321="2",BH321,0)</f>
        <v>0</v>
      </c>
      <c r="AG321" s="31">
        <f>IF(AQ321="2",BI321,0)</f>
        <v>0</v>
      </c>
      <c r="AH321" s="31">
        <f>IF(AQ321="0",BJ321,0)</f>
        <v>0</v>
      </c>
      <c r="AI321" s="12" t="s">
        <v>49</v>
      </c>
      <c r="AJ321" s="31">
        <f>IF(AN321=0,L321,0)</f>
        <v>0</v>
      </c>
      <c r="AK321" s="31">
        <f>IF(AN321=12,L321,0)</f>
        <v>0</v>
      </c>
      <c r="AL321" s="31">
        <f>IF(AN321=21,L321,0)</f>
        <v>0</v>
      </c>
      <c r="AN321" s="31">
        <v>21</v>
      </c>
      <c r="AO321" s="31">
        <f>H321*0</f>
        <v>0</v>
      </c>
      <c r="AP321" s="31">
        <f>H321*(1-0)</f>
        <v>0</v>
      </c>
      <c r="AQ321" s="32" t="s">
        <v>91</v>
      </c>
      <c r="AV321" s="31">
        <f>AW321+AX321</f>
        <v>0</v>
      </c>
      <c r="AW321" s="31">
        <f>G321*AO321</f>
        <v>0</v>
      </c>
      <c r="AX321" s="31">
        <f>G321*AP321</f>
        <v>0</v>
      </c>
      <c r="AY321" s="32" t="s">
        <v>460</v>
      </c>
      <c r="AZ321" s="32" t="s">
        <v>461</v>
      </c>
      <c r="BA321" s="12" t="s">
        <v>60</v>
      </c>
      <c r="BC321" s="31">
        <f>AW321+AX321</f>
        <v>0</v>
      </c>
      <c r="BD321" s="31">
        <f>H321/(100-BE321)*100</f>
        <v>0</v>
      </c>
      <c r="BE321" s="31">
        <v>0</v>
      </c>
      <c r="BF321" s="31">
        <f>O321</f>
        <v>0</v>
      </c>
      <c r="BH321" s="31">
        <f>G321*AO321</f>
        <v>0</v>
      </c>
      <c r="BI321" s="31">
        <f>G321*AP321</f>
        <v>0</v>
      </c>
      <c r="BJ321" s="31">
        <f>G321*H321</f>
        <v>0</v>
      </c>
      <c r="BK321" s="31"/>
      <c r="BL321" s="31">
        <v>762</v>
      </c>
      <c r="BW321" s="31" t="str">
        <f>I321</f>
        <v>21</v>
      </c>
      <c r="BX321" s="4" t="s">
        <v>714</v>
      </c>
    </row>
    <row r="322" spans="1:76" ht="14.35" x14ac:dyDescent="0.5">
      <c r="A322" s="2" t="s">
        <v>715</v>
      </c>
      <c r="B322" s="3" t="s">
        <v>49</v>
      </c>
      <c r="C322" s="3" t="s">
        <v>716</v>
      </c>
      <c r="D322" s="72" t="s">
        <v>717</v>
      </c>
      <c r="E322" s="73"/>
      <c r="F322" s="3" t="s">
        <v>179</v>
      </c>
      <c r="G322" s="31">
        <v>14</v>
      </c>
      <c r="H322" s="71"/>
      <c r="I322" s="32" t="s">
        <v>56</v>
      </c>
      <c r="J322" s="31">
        <f>G322*AO322</f>
        <v>0</v>
      </c>
      <c r="K322" s="31">
        <f>G322*AP322</f>
        <v>0</v>
      </c>
      <c r="L322" s="31">
        <f>G322*H322</f>
        <v>0</v>
      </c>
      <c r="M322" s="31">
        <f>L322*(1+BW322/100)</f>
        <v>0</v>
      </c>
      <c r="N322" s="31">
        <v>0.2</v>
      </c>
      <c r="O322" s="31">
        <f>G322*N322</f>
        <v>2.8000000000000003</v>
      </c>
      <c r="P322" s="33" t="s">
        <v>57</v>
      </c>
      <c r="Z322" s="31">
        <f>IF(AQ322="5",BJ322,0)</f>
        <v>0</v>
      </c>
      <c r="AB322" s="31">
        <f>IF(AQ322="1",BH322,0)</f>
        <v>0</v>
      </c>
      <c r="AC322" s="31">
        <f>IF(AQ322="1",BI322,0)</f>
        <v>0</v>
      </c>
      <c r="AD322" s="31">
        <f>IF(AQ322="7",BH322,0)</f>
        <v>0</v>
      </c>
      <c r="AE322" s="31">
        <f>IF(AQ322="7",BI322,0)</f>
        <v>0</v>
      </c>
      <c r="AF322" s="31">
        <f>IF(AQ322="2",BH322,0)</f>
        <v>0</v>
      </c>
      <c r="AG322" s="31">
        <f>IF(AQ322="2",BI322,0)</f>
        <v>0</v>
      </c>
      <c r="AH322" s="31">
        <f>IF(AQ322="0",BJ322,0)</f>
        <v>0</v>
      </c>
      <c r="AI322" s="12" t="s">
        <v>49</v>
      </c>
      <c r="AJ322" s="31">
        <f>IF(AN322=0,L322,0)</f>
        <v>0</v>
      </c>
      <c r="AK322" s="31">
        <f>IF(AN322=12,L322,0)</f>
        <v>0</v>
      </c>
      <c r="AL322" s="31">
        <f>IF(AN322=21,L322,0)</f>
        <v>0</v>
      </c>
      <c r="AN322" s="31">
        <v>21</v>
      </c>
      <c r="AO322" s="31">
        <f>H322*0</f>
        <v>0</v>
      </c>
      <c r="AP322" s="31">
        <f>H322*(1-0)</f>
        <v>0</v>
      </c>
      <c r="AQ322" s="32" t="s">
        <v>91</v>
      </c>
      <c r="AV322" s="31">
        <f>AW322+AX322</f>
        <v>0</v>
      </c>
      <c r="AW322" s="31">
        <f>G322*AO322</f>
        <v>0</v>
      </c>
      <c r="AX322" s="31">
        <f>G322*AP322</f>
        <v>0</v>
      </c>
      <c r="AY322" s="32" t="s">
        <v>460</v>
      </c>
      <c r="AZ322" s="32" t="s">
        <v>461</v>
      </c>
      <c r="BA322" s="12" t="s">
        <v>60</v>
      </c>
      <c r="BC322" s="31">
        <f>AW322+AX322</f>
        <v>0</v>
      </c>
      <c r="BD322" s="31">
        <f>H322/(100-BE322)*100</f>
        <v>0</v>
      </c>
      <c r="BE322" s="31">
        <v>0</v>
      </c>
      <c r="BF322" s="31">
        <f>O322</f>
        <v>2.8000000000000003</v>
      </c>
      <c r="BH322" s="31">
        <f>G322*AO322</f>
        <v>0</v>
      </c>
      <c r="BI322" s="31">
        <f>G322*AP322</f>
        <v>0</v>
      </c>
      <c r="BJ322" s="31">
        <f>G322*H322</f>
        <v>0</v>
      </c>
      <c r="BK322" s="31"/>
      <c r="BL322" s="31">
        <v>762</v>
      </c>
      <c r="BW322" s="31" t="str">
        <f>I322</f>
        <v>21</v>
      </c>
      <c r="BX322" s="4" t="s">
        <v>717</v>
      </c>
    </row>
    <row r="323" spans="1:76" ht="14.35" x14ac:dyDescent="0.5">
      <c r="A323" s="2" t="s">
        <v>718</v>
      </c>
      <c r="B323" s="3" t="s">
        <v>49</v>
      </c>
      <c r="C323" s="3" t="s">
        <v>719</v>
      </c>
      <c r="D323" s="72" t="s">
        <v>720</v>
      </c>
      <c r="E323" s="73"/>
      <c r="F323" s="3" t="s">
        <v>55</v>
      </c>
      <c r="G323" s="31">
        <v>31.72</v>
      </c>
      <c r="H323" s="71"/>
      <c r="I323" s="32" t="s">
        <v>56</v>
      </c>
      <c r="J323" s="31">
        <f>G323*AO323</f>
        <v>0</v>
      </c>
      <c r="K323" s="31">
        <f>G323*AP323</f>
        <v>0</v>
      </c>
      <c r="L323" s="31">
        <f>G323*H323</f>
        <v>0</v>
      </c>
      <c r="M323" s="31">
        <f>L323*(1+BW323/100)</f>
        <v>0</v>
      </c>
      <c r="N323" s="31">
        <v>2.3570000000000001E-2</v>
      </c>
      <c r="O323" s="31">
        <f>G323*N323</f>
        <v>0.74764039999999998</v>
      </c>
      <c r="P323" s="33" t="s">
        <v>57</v>
      </c>
      <c r="Z323" s="31">
        <f>IF(AQ323="5",BJ323,0)</f>
        <v>0</v>
      </c>
      <c r="AB323" s="31">
        <f>IF(AQ323="1",BH323,0)</f>
        <v>0</v>
      </c>
      <c r="AC323" s="31">
        <f>IF(AQ323="1",BI323,0)</f>
        <v>0</v>
      </c>
      <c r="AD323" s="31">
        <f>IF(AQ323="7",BH323,0)</f>
        <v>0</v>
      </c>
      <c r="AE323" s="31">
        <f>IF(AQ323="7",BI323,0)</f>
        <v>0</v>
      </c>
      <c r="AF323" s="31">
        <f>IF(AQ323="2",BH323,0)</f>
        <v>0</v>
      </c>
      <c r="AG323" s="31">
        <f>IF(AQ323="2",BI323,0)</f>
        <v>0</v>
      </c>
      <c r="AH323" s="31">
        <f>IF(AQ323="0",BJ323,0)</f>
        <v>0</v>
      </c>
      <c r="AI323" s="12" t="s">
        <v>49</v>
      </c>
      <c r="AJ323" s="31">
        <f>IF(AN323=0,L323,0)</f>
        <v>0</v>
      </c>
      <c r="AK323" s="31">
        <f>IF(AN323=12,L323,0)</f>
        <v>0</v>
      </c>
      <c r="AL323" s="31">
        <f>IF(AN323=21,L323,0)</f>
        <v>0</v>
      </c>
      <c r="AN323" s="31">
        <v>21</v>
      </c>
      <c r="AO323" s="31">
        <f>H323*1</f>
        <v>0</v>
      </c>
      <c r="AP323" s="31">
        <f>H323*(1-1)</f>
        <v>0</v>
      </c>
      <c r="AQ323" s="32" t="s">
        <v>91</v>
      </c>
      <c r="AV323" s="31">
        <f>AW323+AX323</f>
        <v>0</v>
      </c>
      <c r="AW323" s="31">
        <f>G323*AO323</f>
        <v>0</v>
      </c>
      <c r="AX323" s="31">
        <f>G323*AP323</f>
        <v>0</v>
      </c>
      <c r="AY323" s="32" t="s">
        <v>460</v>
      </c>
      <c r="AZ323" s="32" t="s">
        <v>461</v>
      </c>
      <c r="BA323" s="12" t="s">
        <v>60</v>
      </c>
      <c r="BC323" s="31">
        <f>AW323+AX323</f>
        <v>0</v>
      </c>
      <c r="BD323" s="31">
        <f>H323/(100-BE323)*100</f>
        <v>0</v>
      </c>
      <c r="BE323" s="31">
        <v>0</v>
      </c>
      <c r="BF323" s="31">
        <f>O323</f>
        <v>0.74764039999999998</v>
      </c>
      <c r="BH323" s="31">
        <f>G323*AO323</f>
        <v>0</v>
      </c>
      <c r="BI323" s="31">
        <f>G323*AP323</f>
        <v>0</v>
      </c>
      <c r="BJ323" s="31">
        <f>G323*H323</f>
        <v>0</v>
      </c>
      <c r="BK323" s="31"/>
      <c r="BL323" s="31">
        <v>762</v>
      </c>
      <c r="BW323" s="31" t="str">
        <f>I323</f>
        <v>21</v>
      </c>
      <c r="BX323" s="4" t="s">
        <v>720</v>
      </c>
    </row>
    <row r="324" spans="1:76" ht="14.35" x14ac:dyDescent="0.5">
      <c r="A324" s="34"/>
      <c r="D324" s="35" t="s">
        <v>629</v>
      </c>
      <c r="E324" s="35" t="s">
        <v>630</v>
      </c>
      <c r="G324" s="36">
        <v>0.79</v>
      </c>
      <c r="P324" s="37"/>
    </row>
    <row r="325" spans="1:76" ht="14.35" x14ac:dyDescent="0.5">
      <c r="A325" s="34"/>
      <c r="D325" s="35" t="s">
        <v>640</v>
      </c>
      <c r="E325" s="35" t="s">
        <v>636</v>
      </c>
      <c r="G325" s="36">
        <v>2.09</v>
      </c>
      <c r="P325" s="37"/>
    </row>
    <row r="326" spans="1:76" ht="14.35" x14ac:dyDescent="0.5">
      <c r="A326" s="34"/>
      <c r="D326" s="35" t="s">
        <v>645</v>
      </c>
      <c r="E326" s="35" t="s">
        <v>646</v>
      </c>
      <c r="G326" s="36">
        <v>3.1</v>
      </c>
      <c r="P326" s="37"/>
    </row>
    <row r="327" spans="1:76" ht="14.35" x14ac:dyDescent="0.5">
      <c r="A327" s="34"/>
      <c r="D327" s="35" t="s">
        <v>721</v>
      </c>
      <c r="E327" s="35" t="s">
        <v>722</v>
      </c>
      <c r="G327" s="36">
        <v>3.83</v>
      </c>
      <c r="P327" s="37"/>
    </row>
    <row r="328" spans="1:76" ht="14.35" x14ac:dyDescent="0.5">
      <c r="A328" s="34"/>
      <c r="D328" s="35" t="s">
        <v>723</v>
      </c>
      <c r="E328" s="35" t="s">
        <v>602</v>
      </c>
      <c r="G328" s="36">
        <v>1.3</v>
      </c>
      <c r="P328" s="37"/>
    </row>
    <row r="329" spans="1:76" ht="14.35" x14ac:dyDescent="0.5">
      <c r="A329" s="34"/>
      <c r="D329" s="35" t="s">
        <v>724</v>
      </c>
      <c r="E329" s="35" t="s">
        <v>607</v>
      </c>
      <c r="G329" s="36">
        <v>2.16</v>
      </c>
      <c r="P329" s="37"/>
    </row>
    <row r="330" spans="1:76" ht="14.35" x14ac:dyDescent="0.5">
      <c r="A330" s="34"/>
      <c r="D330" s="35" t="s">
        <v>725</v>
      </c>
      <c r="E330" s="35" t="s">
        <v>609</v>
      </c>
      <c r="G330" s="36">
        <v>0.8</v>
      </c>
      <c r="P330" s="37"/>
    </row>
    <row r="331" spans="1:76" ht="14.35" x14ac:dyDescent="0.5">
      <c r="A331" s="34"/>
      <c r="D331" s="35" t="s">
        <v>726</v>
      </c>
      <c r="E331" s="35" t="s">
        <v>614</v>
      </c>
      <c r="G331" s="36">
        <v>1.87</v>
      </c>
      <c r="P331" s="37"/>
    </row>
    <row r="332" spans="1:76" ht="14.35" x14ac:dyDescent="0.5">
      <c r="A332" s="34"/>
      <c r="D332" s="35" t="s">
        <v>727</v>
      </c>
      <c r="E332" s="35" t="s">
        <v>616</v>
      </c>
      <c r="G332" s="36">
        <v>1.94</v>
      </c>
      <c r="P332" s="37"/>
    </row>
    <row r="333" spans="1:76" ht="14.35" x14ac:dyDescent="0.5">
      <c r="A333" s="34"/>
      <c r="D333" s="35" t="s">
        <v>688</v>
      </c>
      <c r="E333" s="35" t="s">
        <v>728</v>
      </c>
      <c r="G333" s="36">
        <v>0.63</v>
      </c>
      <c r="P333" s="37"/>
    </row>
    <row r="334" spans="1:76" ht="14.35" x14ac:dyDescent="0.5">
      <c r="A334" s="34"/>
      <c r="D334" s="35" t="s">
        <v>729</v>
      </c>
      <c r="E334" s="35" t="s">
        <v>730</v>
      </c>
      <c r="G334" s="36">
        <v>13.21</v>
      </c>
      <c r="P334" s="37"/>
    </row>
    <row r="335" spans="1:76" ht="14.35" x14ac:dyDescent="0.5">
      <c r="A335" s="2" t="s">
        <v>731</v>
      </c>
      <c r="B335" s="3" t="s">
        <v>49</v>
      </c>
      <c r="C335" s="3" t="s">
        <v>732</v>
      </c>
      <c r="D335" s="72" t="s">
        <v>733</v>
      </c>
      <c r="E335" s="73"/>
      <c r="F335" s="3" t="s">
        <v>125</v>
      </c>
      <c r="G335" s="31">
        <v>525</v>
      </c>
      <c r="H335" s="71"/>
      <c r="I335" s="32" t="s">
        <v>56</v>
      </c>
      <c r="J335" s="31">
        <f>G335*AO335</f>
        <v>0</v>
      </c>
      <c r="K335" s="31">
        <f>G335*AP335</f>
        <v>0</v>
      </c>
      <c r="L335" s="31">
        <f>G335*H335</f>
        <v>0</v>
      </c>
      <c r="M335" s="31">
        <f>L335*(1+BW335/100)</f>
        <v>0</v>
      </c>
      <c r="N335" s="31">
        <v>0</v>
      </c>
      <c r="O335" s="31">
        <f>G335*N335</f>
        <v>0</v>
      </c>
      <c r="P335" s="33" t="s">
        <v>57</v>
      </c>
      <c r="Z335" s="31">
        <f>IF(AQ335="5",BJ335,0)</f>
        <v>0</v>
      </c>
      <c r="AB335" s="31">
        <f>IF(AQ335="1",BH335,0)</f>
        <v>0</v>
      </c>
      <c r="AC335" s="31">
        <f>IF(AQ335="1",BI335,0)</f>
        <v>0</v>
      </c>
      <c r="AD335" s="31">
        <f>IF(AQ335="7",BH335,0)</f>
        <v>0</v>
      </c>
      <c r="AE335" s="31">
        <f>IF(AQ335="7",BI335,0)</f>
        <v>0</v>
      </c>
      <c r="AF335" s="31">
        <f>IF(AQ335="2",BH335,0)</f>
        <v>0</v>
      </c>
      <c r="AG335" s="31">
        <f>IF(AQ335="2",BI335,0)</f>
        <v>0</v>
      </c>
      <c r="AH335" s="31">
        <f>IF(AQ335="0",BJ335,0)</f>
        <v>0</v>
      </c>
      <c r="AI335" s="12" t="s">
        <v>49</v>
      </c>
      <c r="AJ335" s="31">
        <f>IF(AN335=0,L335,0)</f>
        <v>0</v>
      </c>
      <c r="AK335" s="31">
        <f>IF(AN335=12,L335,0)</f>
        <v>0</v>
      </c>
      <c r="AL335" s="31">
        <f>IF(AN335=21,L335,0)</f>
        <v>0</v>
      </c>
      <c r="AN335" s="31">
        <v>21</v>
      </c>
      <c r="AO335" s="31">
        <f>H335*0</f>
        <v>0</v>
      </c>
      <c r="AP335" s="31">
        <f>H335*(1-0)</f>
        <v>0</v>
      </c>
      <c r="AQ335" s="32" t="s">
        <v>91</v>
      </c>
      <c r="AV335" s="31">
        <f>AW335+AX335</f>
        <v>0</v>
      </c>
      <c r="AW335" s="31">
        <f>G335*AO335</f>
        <v>0</v>
      </c>
      <c r="AX335" s="31">
        <f>G335*AP335</f>
        <v>0</v>
      </c>
      <c r="AY335" s="32" t="s">
        <v>460</v>
      </c>
      <c r="AZ335" s="32" t="s">
        <v>461</v>
      </c>
      <c r="BA335" s="12" t="s">
        <v>60</v>
      </c>
      <c r="BC335" s="31">
        <f>AW335+AX335</f>
        <v>0</v>
      </c>
      <c r="BD335" s="31">
        <f>H335/(100-BE335)*100</f>
        <v>0</v>
      </c>
      <c r="BE335" s="31">
        <v>0</v>
      </c>
      <c r="BF335" s="31">
        <f>O335</f>
        <v>0</v>
      </c>
      <c r="BH335" s="31">
        <f>G335*AO335</f>
        <v>0</v>
      </c>
      <c r="BI335" s="31">
        <f>G335*AP335</f>
        <v>0</v>
      </c>
      <c r="BJ335" s="31">
        <f>G335*H335</f>
        <v>0</v>
      </c>
      <c r="BK335" s="31"/>
      <c r="BL335" s="31">
        <v>762</v>
      </c>
      <c r="BW335" s="31" t="str">
        <f>I335</f>
        <v>21</v>
      </c>
      <c r="BX335" s="4" t="s">
        <v>733</v>
      </c>
    </row>
    <row r="336" spans="1:76" ht="14.35" x14ac:dyDescent="0.5">
      <c r="A336" s="34"/>
      <c r="D336" s="35" t="s">
        <v>734</v>
      </c>
      <c r="E336" s="35" t="s">
        <v>735</v>
      </c>
      <c r="G336" s="36">
        <v>525</v>
      </c>
      <c r="P336" s="37"/>
    </row>
    <row r="337" spans="1:76" ht="14.35" x14ac:dyDescent="0.5">
      <c r="A337" s="2" t="s">
        <v>736</v>
      </c>
      <c r="B337" s="3" t="s">
        <v>49</v>
      </c>
      <c r="C337" s="3" t="s">
        <v>686</v>
      </c>
      <c r="D337" s="72" t="s">
        <v>687</v>
      </c>
      <c r="E337" s="73"/>
      <c r="F337" s="3" t="s">
        <v>55</v>
      </c>
      <c r="G337" s="31">
        <v>14.44</v>
      </c>
      <c r="H337" s="71"/>
      <c r="I337" s="32" t="s">
        <v>56</v>
      </c>
      <c r="J337" s="31">
        <f>G337*AO337</f>
        <v>0</v>
      </c>
      <c r="K337" s="31">
        <f>G337*AP337</f>
        <v>0</v>
      </c>
      <c r="L337" s="31">
        <f>G337*H337</f>
        <v>0</v>
      </c>
      <c r="M337" s="31">
        <f>L337*(1+BW337/100)</f>
        <v>0</v>
      </c>
      <c r="N337" s="31">
        <v>0.55000000000000004</v>
      </c>
      <c r="O337" s="31">
        <f>G337*N337</f>
        <v>7.9420000000000002</v>
      </c>
      <c r="P337" s="33" t="s">
        <v>57</v>
      </c>
      <c r="Z337" s="31">
        <f>IF(AQ337="5",BJ337,0)</f>
        <v>0</v>
      </c>
      <c r="AB337" s="31">
        <f>IF(AQ337="1",BH337,0)</f>
        <v>0</v>
      </c>
      <c r="AC337" s="31">
        <f>IF(AQ337="1",BI337,0)</f>
        <v>0</v>
      </c>
      <c r="AD337" s="31">
        <f>IF(AQ337="7",BH337,0)</f>
        <v>0</v>
      </c>
      <c r="AE337" s="31">
        <f>IF(AQ337="7",BI337,0)</f>
        <v>0</v>
      </c>
      <c r="AF337" s="31">
        <f>IF(AQ337="2",BH337,0)</f>
        <v>0</v>
      </c>
      <c r="AG337" s="31">
        <f>IF(AQ337="2",BI337,0)</f>
        <v>0</v>
      </c>
      <c r="AH337" s="31">
        <f>IF(AQ337="0",BJ337,0)</f>
        <v>0</v>
      </c>
      <c r="AI337" s="12" t="s">
        <v>49</v>
      </c>
      <c r="AJ337" s="31">
        <f>IF(AN337=0,L337,0)</f>
        <v>0</v>
      </c>
      <c r="AK337" s="31">
        <f>IF(AN337=12,L337,0)</f>
        <v>0</v>
      </c>
      <c r="AL337" s="31">
        <f>IF(AN337=21,L337,0)</f>
        <v>0</v>
      </c>
      <c r="AN337" s="31">
        <v>21</v>
      </c>
      <c r="AO337" s="31">
        <f>H337*1</f>
        <v>0</v>
      </c>
      <c r="AP337" s="31">
        <f>H337*(1-1)</f>
        <v>0</v>
      </c>
      <c r="AQ337" s="32" t="s">
        <v>91</v>
      </c>
      <c r="AV337" s="31">
        <f>AW337+AX337</f>
        <v>0</v>
      </c>
      <c r="AW337" s="31">
        <f>G337*AO337</f>
        <v>0</v>
      </c>
      <c r="AX337" s="31">
        <f>G337*AP337</f>
        <v>0</v>
      </c>
      <c r="AY337" s="32" t="s">
        <v>460</v>
      </c>
      <c r="AZ337" s="32" t="s">
        <v>461</v>
      </c>
      <c r="BA337" s="12" t="s">
        <v>60</v>
      </c>
      <c r="BC337" s="31">
        <f>AW337+AX337</f>
        <v>0</v>
      </c>
      <c r="BD337" s="31">
        <f>H337/(100-BE337)*100</f>
        <v>0</v>
      </c>
      <c r="BE337" s="31">
        <v>0</v>
      </c>
      <c r="BF337" s="31">
        <f>O337</f>
        <v>7.9420000000000002</v>
      </c>
      <c r="BH337" s="31">
        <f>G337*AO337</f>
        <v>0</v>
      </c>
      <c r="BI337" s="31">
        <f>G337*AP337</f>
        <v>0</v>
      </c>
      <c r="BJ337" s="31">
        <f>G337*H337</f>
        <v>0</v>
      </c>
      <c r="BK337" s="31"/>
      <c r="BL337" s="31">
        <v>762</v>
      </c>
      <c r="BW337" s="31" t="str">
        <f>I337</f>
        <v>21</v>
      </c>
      <c r="BX337" s="4" t="s">
        <v>687</v>
      </c>
    </row>
    <row r="338" spans="1:76" ht="14.35" x14ac:dyDescent="0.5">
      <c r="A338" s="34"/>
      <c r="D338" s="35" t="s">
        <v>737</v>
      </c>
      <c r="E338" s="35" t="s">
        <v>49</v>
      </c>
      <c r="G338" s="36">
        <v>13.13</v>
      </c>
      <c r="P338" s="37"/>
    </row>
    <row r="339" spans="1:76" ht="14.35" x14ac:dyDescent="0.5">
      <c r="A339" s="34"/>
      <c r="D339" s="35" t="s">
        <v>738</v>
      </c>
      <c r="E339" s="35" t="s">
        <v>49</v>
      </c>
      <c r="G339" s="36">
        <v>1.31</v>
      </c>
      <c r="P339" s="37"/>
    </row>
    <row r="340" spans="1:76" ht="14.35" x14ac:dyDescent="0.5">
      <c r="A340" s="2" t="s">
        <v>462</v>
      </c>
      <c r="B340" s="3" t="s">
        <v>49</v>
      </c>
      <c r="C340" s="3" t="s">
        <v>739</v>
      </c>
      <c r="D340" s="72" t="s">
        <v>740</v>
      </c>
      <c r="E340" s="73"/>
      <c r="F340" s="3" t="s">
        <v>125</v>
      </c>
      <c r="G340" s="31">
        <v>525</v>
      </c>
      <c r="H340" s="71"/>
      <c r="I340" s="32" t="s">
        <v>56</v>
      </c>
      <c r="J340" s="31">
        <f>G340*AO340</f>
        <v>0</v>
      </c>
      <c r="K340" s="31">
        <f>G340*AP340</f>
        <v>0</v>
      </c>
      <c r="L340" s="31">
        <f>G340*H340</f>
        <v>0</v>
      </c>
      <c r="M340" s="31">
        <f>L340*(1+BW340/100)</f>
        <v>0</v>
      </c>
      <c r="N340" s="31">
        <v>1.4E-2</v>
      </c>
      <c r="O340" s="31">
        <f>G340*N340</f>
        <v>7.3500000000000005</v>
      </c>
      <c r="P340" s="33" t="s">
        <v>57</v>
      </c>
      <c r="Z340" s="31">
        <f>IF(AQ340="5",BJ340,0)</f>
        <v>0</v>
      </c>
      <c r="AB340" s="31">
        <f>IF(AQ340="1",BH340,0)</f>
        <v>0</v>
      </c>
      <c r="AC340" s="31">
        <f>IF(AQ340="1",BI340,0)</f>
        <v>0</v>
      </c>
      <c r="AD340" s="31">
        <f>IF(AQ340="7",BH340,0)</f>
        <v>0</v>
      </c>
      <c r="AE340" s="31">
        <f>IF(AQ340="7",BI340,0)</f>
        <v>0</v>
      </c>
      <c r="AF340" s="31">
        <f>IF(AQ340="2",BH340,0)</f>
        <v>0</v>
      </c>
      <c r="AG340" s="31">
        <f>IF(AQ340="2",BI340,0)</f>
        <v>0</v>
      </c>
      <c r="AH340" s="31">
        <f>IF(AQ340="0",BJ340,0)</f>
        <v>0</v>
      </c>
      <c r="AI340" s="12" t="s">
        <v>49</v>
      </c>
      <c r="AJ340" s="31">
        <f>IF(AN340=0,L340,0)</f>
        <v>0</v>
      </c>
      <c r="AK340" s="31">
        <f>IF(AN340=12,L340,0)</f>
        <v>0</v>
      </c>
      <c r="AL340" s="31">
        <f>IF(AN340=21,L340,0)</f>
        <v>0</v>
      </c>
      <c r="AN340" s="31">
        <v>21</v>
      </c>
      <c r="AO340" s="31">
        <f>H340*0</f>
        <v>0</v>
      </c>
      <c r="AP340" s="31">
        <f>H340*(1-0)</f>
        <v>0</v>
      </c>
      <c r="AQ340" s="32" t="s">
        <v>91</v>
      </c>
      <c r="AV340" s="31">
        <f>AW340+AX340</f>
        <v>0</v>
      </c>
      <c r="AW340" s="31">
        <f>G340*AO340</f>
        <v>0</v>
      </c>
      <c r="AX340" s="31">
        <f>G340*AP340</f>
        <v>0</v>
      </c>
      <c r="AY340" s="32" t="s">
        <v>460</v>
      </c>
      <c r="AZ340" s="32" t="s">
        <v>461</v>
      </c>
      <c r="BA340" s="12" t="s">
        <v>60</v>
      </c>
      <c r="BC340" s="31">
        <f>AW340+AX340</f>
        <v>0</v>
      </c>
      <c r="BD340" s="31">
        <f>H340/(100-BE340)*100</f>
        <v>0</v>
      </c>
      <c r="BE340" s="31">
        <v>0</v>
      </c>
      <c r="BF340" s="31">
        <f>O340</f>
        <v>7.3500000000000005</v>
      </c>
      <c r="BH340" s="31">
        <f>G340*AO340</f>
        <v>0</v>
      </c>
      <c r="BI340" s="31">
        <f>G340*AP340</f>
        <v>0</v>
      </c>
      <c r="BJ340" s="31">
        <f>G340*H340</f>
        <v>0</v>
      </c>
      <c r="BK340" s="31"/>
      <c r="BL340" s="31">
        <v>762</v>
      </c>
      <c r="BW340" s="31" t="str">
        <f>I340</f>
        <v>21</v>
      </c>
      <c r="BX340" s="4" t="s">
        <v>740</v>
      </c>
    </row>
    <row r="341" spans="1:76" ht="14.35" x14ac:dyDescent="0.5">
      <c r="A341" s="2" t="s">
        <v>741</v>
      </c>
      <c r="B341" s="3" t="s">
        <v>49</v>
      </c>
      <c r="C341" s="3" t="s">
        <v>742</v>
      </c>
      <c r="D341" s="72" t="s">
        <v>743</v>
      </c>
      <c r="E341" s="73"/>
      <c r="F341" s="3" t="s">
        <v>150</v>
      </c>
      <c r="G341" s="31">
        <v>20.9</v>
      </c>
      <c r="H341" s="71"/>
      <c r="I341" s="32" t="s">
        <v>56</v>
      </c>
      <c r="J341" s="31">
        <f>G341*AO341</f>
        <v>0</v>
      </c>
      <c r="K341" s="31">
        <f>G341*AP341</f>
        <v>0</v>
      </c>
      <c r="L341" s="31">
        <f>G341*H341</f>
        <v>0</v>
      </c>
      <c r="M341" s="31">
        <f>L341*(1+BW341/100)</f>
        <v>0</v>
      </c>
      <c r="N341" s="31">
        <v>1.248E-2</v>
      </c>
      <c r="O341" s="31">
        <f>G341*N341</f>
        <v>0.26083199999999995</v>
      </c>
      <c r="P341" s="33" t="s">
        <v>57</v>
      </c>
      <c r="Z341" s="31">
        <f>IF(AQ341="5",BJ341,0)</f>
        <v>0</v>
      </c>
      <c r="AB341" s="31">
        <f>IF(AQ341="1",BH341,0)</f>
        <v>0</v>
      </c>
      <c r="AC341" s="31">
        <f>IF(AQ341="1",BI341,0)</f>
        <v>0</v>
      </c>
      <c r="AD341" s="31">
        <f>IF(AQ341="7",BH341,0)</f>
        <v>0</v>
      </c>
      <c r="AE341" s="31">
        <f>IF(AQ341="7",BI341,0)</f>
        <v>0</v>
      </c>
      <c r="AF341" s="31">
        <f>IF(AQ341="2",BH341,0)</f>
        <v>0</v>
      </c>
      <c r="AG341" s="31">
        <f>IF(AQ341="2",BI341,0)</f>
        <v>0</v>
      </c>
      <c r="AH341" s="31">
        <f>IF(AQ341="0",BJ341,0)</f>
        <v>0</v>
      </c>
      <c r="AI341" s="12" t="s">
        <v>49</v>
      </c>
      <c r="AJ341" s="31">
        <f>IF(AN341=0,L341,0)</f>
        <v>0</v>
      </c>
      <c r="AK341" s="31">
        <f>IF(AN341=12,L341,0)</f>
        <v>0</v>
      </c>
      <c r="AL341" s="31">
        <f>IF(AN341=21,L341,0)</f>
        <v>0</v>
      </c>
      <c r="AN341" s="31">
        <v>21</v>
      </c>
      <c r="AO341" s="31">
        <f>H341*0.023746835</f>
        <v>0</v>
      </c>
      <c r="AP341" s="31">
        <f>H341*(1-0.023746835)</f>
        <v>0</v>
      </c>
      <c r="AQ341" s="32" t="s">
        <v>91</v>
      </c>
      <c r="AV341" s="31">
        <f>AW341+AX341</f>
        <v>0</v>
      </c>
      <c r="AW341" s="31">
        <f>G341*AO341</f>
        <v>0</v>
      </c>
      <c r="AX341" s="31">
        <f>G341*AP341</f>
        <v>0</v>
      </c>
      <c r="AY341" s="32" t="s">
        <v>460</v>
      </c>
      <c r="AZ341" s="32" t="s">
        <v>461</v>
      </c>
      <c r="BA341" s="12" t="s">
        <v>60</v>
      </c>
      <c r="BC341" s="31">
        <f>AW341+AX341</f>
        <v>0</v>
      </c>
      <c r="BD341" s="31">
        <f>H341/(100-BE341)*100</f>
        <v>0</v>
      </c>
      <c r="BE341" s="31">
        <v>0</v>
      </c>
      <c r="BF341" s="31">
        <f>O341</f>
        <v>0.26083199999999995</v>
      </c>
      <c r="BH341" s="31">
        <f>G341*AO341</f>
        <v>0</v>
      </c>
      <c r="BI341" s="31">
        <f>G341*AP341</f>
        <v>0</v>
      </c>
      <c r="BJ341" s="31">
        <f>G341*H341</f>
        <v>0</v>
      </c>
      <c r="BK341" s="31"/>
      <c r="BL341" s="31">
        <v>762</v>
      </c>
      <c r="BW341" s="31" t="str">
        <f>I341</f>
        <v>21</v>
      </c>
      <c r="BX341" s="4" t="s">
        <v>743</v>
      </c>
    </row>
    <row r="342" spans="1:76" ht="14.35" x14ac:dyDescent="0.5">
      <c r="A342" s="34"/>
      <c r="D342" s="35" t="s">
        <v>744</v>
      </c>
      <c r="E342" s="35" t="s">
        <v>701</v>
      </c>
      <c r="G342" s="36">
        <v>20.9</v>
      </c>
      <c r="P342" s="37"/>
    </row>
    <row r="343" spans="1:76" ht="14.35" x14ac:dyDescent="0.5">
      <c r="A343" s="2" t="s">
        <v>745</v>
      </c>
      <c r="B343" s="3" t="s">
        <v>49</v>
      </c>
      <c r="C343" s="3" t="s">
        <v>746</v>
      </c>
      <c r="D343" s="72" t="s">
        <v>747</v>
      </c>
      <c r="E343" s="73"/>
      <c r="F343" s="3" t="s">
        <v>150</v>
      </c>
      <c r="G343" s="31">
        <v>20.9</v>
      </c>
      <c r="H343" s="71"/>
      <c r="I343" s="32" t="s">
        <v>56</v>
      </c>
      <c r="J343" s="31">
        <f>G343*AO343</f>
        <v>0</v>
      </c>
      <c r="K343" s="31">
        <f>G343*AP343</f>
        <v>0</v>
      </c>
      <c r="L343" s="31">
        <f>G343*H343</f>
        <v>0</v>
      </c>
      <c r="M343" s="31">
        <f>L343*(1+BW343/100)</f>
        <v>0</v>
      </c>
      <c r="N343" s="31">
        <v>1.6000000000000001E-4</v>
      </c>
      <c r="O343" s="31">
        <f>G343*N343</f>
        <v>3.3440000000000002E-3</v>
      </c>
      <c r="P343" s="33" t="s">
        <v>57</v>
      </c>
      <c r="Z343" s="31">
        <f>IF(AQ343="5",BJ343,0)</f>
        <v>0</v>
      </c>
      <c r="AB343" s="31">
        <f>IF(AQ343="1",BH343,0)</f>
        <v>0</v>
      </c>
      <c r="AC343" s="31">
        <f>IF(AQ343="1",BI343,0)</f>
        <v>0</v>
      </c>
      <c r="AD343" s="31">
        <f>IF(AQ343="7",BH343,0)</f>
        <v>0</v>
      </c>
      <c r="AE343" s="31">
        <f>IF(AQ343="7",BI343,0)</f>
        <v>0</v>
      </c>
      <c r="AF343" s="31">
        <f>IF(AQ343="2",BH343,0)</f>
        <v>0</v>
      </c>
      <c r="AG343" s="31">
        <f>IF(AQ343="2",BI343,0)</f>
        <v>0</v>
      </c>
      <c r="AH343" s="31">
        <f>IF(AQ343="0",BJ343,0)</f>
        <v>0</v>
      </c>
      <c r="AI343" s="12" t="s">
        <v>49</v>
      </c>
      <c r="AJ343" s="31">
        <f>IF(AN343=0,L343,0)</f>
        <v>0</v>
      </c>
      <c r="AK343" s="31">
        <f>IF(AN343=12,L343,0)</f>
        <v>0</v>
      </c>
      <c r="AL343" s="31">
        <f>IF(AN343=21,L343,0)</f>
        <v>0</v>
      </c>
      <c r="AN343" s="31">
        <v>21</v>
      </c>
      <c r="AO343" s="31">
        <f>H343*0.047041123</f>
        <v>0</v>
      </c>
      <c r="AP343" s="31">
        <f>H343*(1-0.047041123)</f>
        <v>0</v>
      </c>
      <c r="AQ343" s="32" t="s">
        <v>91</v>
      </c>
      <c r="AV343" s="31">
        <f>AW343+AX343</f>
        <v>0</v>
      </c>
      <c r="AW343" s="31">
        <f>G343*AO343</f>
        <v>0</v>
      </c>
      <c r="AX343" s="31">
        <f>G343*AP343</f>
        <v>0</v>
      </c>
      <c r="AY343" s="32" t="s">
        <v>460</v>
      </c>
      <c r="AZ343" s="32" t="s">
        <v>461</v>
      </c>
      <c r="BA343" s="12" t="s">
        <v>60</v>
      </c>
      <c r="BC343" s="31">
        <f>AW343+AX343</f>
        <v>0</v>
      </c>
      <c r="BD343" s="31">
        <f>H343/(100-BE343)*100</f>
        <v>0</v>
      </c>
      <c r="BE343" s="31">
        <v>0</v>
      </c>
      <c r="BF343" s="31">
        <f>O343</f>
        <v>3.3440000000000002E-3</v>
      </c>
      <c r="BH343" s="31">
        <f>G343*AO343</f>
        <v>0</v>
      </c>
      <c r="BI343" s="31">
        <f>G343*AP343</f>
        <v>0</v>
      </c>
      <c r="BJ343" s="31">
        <f>G343*H343</f>
        <v>0</v>
      </c>
      <c r="BK343" s="31"/>
      <c r="BL343" s="31">
        <v>762</v>
      </c>
      <c r="BW343" s="31" t="str">
        <f>I343</f>
        <v>21</v>
      </c>
      <c r="BX343" s="4" t="s">
        <v>747</v>
      </c>
    </row>
    <row r="344" spans="1:76" ht="14.35" x14ac:dyDescent="0.5">
      <c r="A344" s="34"/>
      <c r="D344" s="35" t="s">
        <v>744</v>
      </c>
      <c r="E344" s="35" t="s">
        <v>701</v>
      </c>
      <c r="G344" s="36">
        <v>20.9</v>
      </c>
      <c r="P344" s="37"/>
    </row>
    <row r="345" spans="1:76" ht="14.35" x14ac:dyDescent="0.5">
      <c r="A345" s="2" t="s">
        <v>748</v>
      </c>
      <c r="B345" s="3" t="s">
        <v>49</v>
      </c>
      <c r="C345" s="3" t="s">
        <v>749</v>
      </c>
      <c r="D345" s="72" t="s">
        <v>750</v>
      </c>
      <c r="E345" s="73"/>
      <c r="F345" s="3" t="s">
        <v>55</v>
      </c>
      <c r="G345" s="31">
        <v>0.33</v>
      </c>
      <c r="H345" s="71"/>
      <c r="I345" s="32" t="s">
        <v>56</v>
      </c>
      <c r="J345" s="31">
        <f>G345*AO345</f>
        <v>0</v>
      </c>
      <c r="K345" s="31">
        <f>G345*AP345</f>
        <v>0</v>
      </c>
      <c r="L345" s="31">
        <f>G345*H345</f>
        <v>0</v>
      </c>
      <c r="M345" s="31">
        <f>L345*(1+BW345/100)</f>
        <v>0</v>
      </c>
      <c r="N345" s="31">
        <v>0.55000000000000004</v>
      </c>
      <c r="O345" s="31">
        <f>G345*N345</f>
        <v>0.18150000000000002</v>
      </c>
      <c r="P345" s="33" t="s">
        <v>57</v>
      </c>
      <c r="Z345" s="31">
        <f>IF(AQ345="5",BJ345,0)</f>
        <v>0</v>
      </c>
      <c r="AB345" s="31">
        <f>IF(AQ345="1",BH345,0)</f>
        <v>0</v>
      </c>
      <c r="AC345" s="31">
        <f>IF(AQ345="1",BI345,0)</f>
        <v>0</v>
      </c>
      <c r="AD345" s="31">
        <f>IF(AQ345="7",BH345,0)</f>
        <v>0</v>
      </c>
      <c r="AE345" s="31">
        <f>IF(AQ345="7",BI345,0)</f>
        <v>0</v>
      </c>
      <c r="AF345" s="31">
        <f>IF(AQ345="2",BH345,0)</f>
        <v>0</v>
      </c>
      <c r="AG345" s="31">
        <f>IF(AQ345="2",BI345,0)</f>
        <v>0</v>
      </c>
      <c r="AH345" s="31">
        <f>IF(AQ345="0",BJ345,0)</f>
        <v>0</v>
      </c>
      <c r="AI345" s="12" t="s">
        <v>49</v>
      </c>
      <c r="AJ345" s="31">
        <f>IF(AN345=0,L345,0)</f>
        <v>0</v>
      </c>
      <c r="AK345" s="31">
        <f>IF(AN345=12,L345,0)</f>
        <v>0</v>
      </c>
      <c r="AL345" s="31">
        <f>IF(AN345=21,L345,0)</f>
        <v>0</v>
      </c>
      <c r="AN345" s="31">
        <v>21</v>
      </c>
      <c r="AO345" s="31">
        <f>H345*1</f>
        <v>0</v>
      </c>
      <c r="AP345" s="31">
        <f>H345*(1-1)</f>
        <v>0</v>
      </c>
      <c r="AQ345" s="32" t="s">
        <v>91</v>
      </c>
      <c r="AV345" s="31">
        <f>AW345+AX345</f>
        <v>0</v>
      </c>
      <c r="AW345" s="31">
        <f>G345*AO345</f>
        <v>0</v>
      </c>
      <c r="AX345" s="31">
        <f>G345*AP345</f>
        <v>0</v>
      </c>
      <c r="AY345" s="32" t="s">
        <v>460</v>
      </c>
      <c r="AZ345" s="32" t="s">
        <v>461</v>
      </c>
      <c r="BA345" s="12" t="s">
        <v>60</v>
      </c>
      <c r="BC345" s="31">
        <f>AW345+AX345</f>
        <v>0</v>
      </c>
      <c r="BD345" s="31">
        <f>H345/(100-BE345)*100</f>
        <v>0</v>
      </c>
      <c r="BE345" s="31">
        <v>0</v>
      </c>
      <c r="BF345" s="31">
        <f>O345</f>
        <v>0.18150000000000002</v>
      </c>
      <c r="BH345" s="31">
        <f>G345*AO345</f>
        <v>0</v>
      </c>
      <c r="BI345" s="31">
        <f>G345*AP345</f>
        <v>0</v>
      </c>
      <c r="BJ345" s="31">
        <f>G345*H345</f>
        <v>0</v>
      </c>
      <c r="BK345" s="31"/>
      <c r="BL345" s="31">
        <v>762</v>
      </c>
      <c r="BW345" s="31" t="str">
        <f>I345</f>
        <v>21</v>
      </c>
      <c r="BX345" s="4" t="s">
        <v>750</v>
      </c>
    </row>
    <row r="346" spans="1:76" ht="14.35" x14ac:dyDescent="0.5">
      <c r="A346" s="34"/>
      <c r="D346" s="35" t="s">
        <v>751</v>
      </c>
      <c r="E346" s="35" t="s">
        <v>49</v>
      </c>
      <c r="G346" s="36">
        <v>0.3</v>
      </c>
      <c r="P346" s="37"/>
    </row>
    <row r="347" spans="1:76" ht="14.35" x14ac:dyDescent="0.5">
      <c r="A347" s="34"/>
      <c r="D347" s="35" t="s">
        <v>752</v>
      </c>
      <c r="E347" s="35" t="s">
        <v>49</v>
      </c>
      <c r="G347" s="36">
        <v>0.03</v>
      </c>
      <c r="P347" s="37"/>
    </row>
    <row r="348" spans="1:76" ht="14.35" x14ac:dyDescent="0.5">
      <c r="A348" s="2" t="s">
        <v>753</v>
      </c>
      <c r="B348" s="3" t="s">
        <v>49</v>
      </c>
      <c r="C348" s="3" t="s">
        <v>754</v>
      </c>
      <c r="D348" s="72" t="s">
        <v>755</v>
      </c>
      <c r="E348" s="73"/>
      <c r="F348" s="3" t="s">
        <v>150</v>
      </c>
      <c r="G348" s="31">
        <v>395.62</v>
      </c>
      <c r="H348" s="71"/>
      <c r="I348" s="32" t="s">
        <v>56</v>
      </c>
      <c r="J348" s="31">
        <f>G348*AO348</f>
        <v>0</v>
      </c>
      <c r="K348" s="31">
        <f>G348*AP348</f>
        <v>0</v>
      </c>
      <c r="L348" s="31">
        <f>G348*H348</f>
        <v>0</v>
      </c>
      <c r="M348" s="31">
        <f>L348*(1+BW348/100)</f>
        <v>0</v>
      </c>
      <c r="N348" s="31">
        <v>1.6000000000000001E-4</v>
      </c>
      <c r="O348" s="31">
        <f>G348*N348</f>
        <v>6.32992E-2</v>
      </c>
      <c r="P348" s="33" t="s">
        <v>57</v>
      </c>
      <c r="Z348" s="31">
        <f>IF(AQ348="5",BJ348,0)</f>
        <v>0</v>
      </c>
      <c r="AB348" s="31">
        <f>IF(AQ348="1",BH348,0)</f>
        <v>0</v>
      </c>
      <c r="AC348" s="31">
        <f>IF(AQ348="1",BI348,0)</f>
        <v>0</v>
      </c>
      <c r="AD348" s="31">
        <f>IF(AQ348="7",BH348,0)</f>
        <v>0</v>
      </c>
      <c r="AE348" s="31">
        <f>IF(AQ348="7",BI348,0)</f>
        <v>0</v>
      </c>
      <c r="AF348" s="31">
        <f>IF(AQ348="2",BH348,0)</f>
        <v>0</v>
      </c>
      <c r="AG348" s="31">
        <f>IF(AQ348="2",BI348,0)</f>
        <v>0</v>
      </c>
      <c r="AH348" s="31">
        <f>IF(AQ348="0",BJ348,0)</f>
        <v>0</v>
      </c>
      <c r="AI348" s="12" t="s">
        <v>49</v>
      </c>
      <c r="AJ348" s="31">
        <f>IF(AN348=0,L348,0)</f>
        <v>0</v>
      </c>
      <c r="AK348" s="31">
        <f>IF(AN348=12,L348,0)</f>
        <v>0</v>
      </c>
      <c r="AL348" s="31">
        <f>IF(AN348=21,L348,0)</f>
        <v>0</v>
      </c>
      <c r="AN348" s="31">
        <v>21</v>
      </c>
      <c r="AO348" s="31">
        <f>H348*0.026348315</f>
        <v>0</v>
      </c>
      <c r="AP348" s="31">
        <f>H348*(1-0.026348315)</f>
        <v>0</v>
      </c>
      <c r="AQ348" s="32" t="s">
        <v>91</v>
      </c>
      <c r="AV348" s="31">
        <f>AW348+AX348</f>
        <v>0</v>
      </c>
      <c r="AW348" s="31">
        <f>G348*AO348</f>
        <v>0</v>
      </c>
      <c r="AX348" s="31">
        <f>G348*AP348</f>
        <v>0</v>
      </c>
      <c r="AY348" s="32" t="s">
        <v>460</v>
      </c>
      <c r="AZ348" s="32" t="s">
        <v>461</v>
      </c>
      <c r="BA348" s="12" t="s">
        <v>60</v>
      </c>
      <c r="BC348" s="31">
        <f>AW348+AX348</f>
        <v>0</v>
      </c>
      <c r="BD348" s="31">
        <f>H348/(100-BE348)*100</f>
        <v>0</v>
      </c>
      <c r="BE348" s="31">
        <v>0</v>
      </c>
      <c r="BF348" s="31">
        <f>O348</f>
        <v>6.32992E-2</v>
      </c>
      <c r="BH348" s="31">
        <f>G348*AO348</f>
        <v>0</v>
      </c>
      <c r="BI348" s="31">
        <f>G348*AP348</f>
        <v>0</v>
      </c>
      <c r="BJ348" s="31">
        <f>G348*H348</f>
        <v>0</v>
      </c>
      <c r="BK348" s="31"/>
      <c r="BL348" s="31">
        <v>762</v>
      </c>
      <c r="BW348" s="31" t="str">
        <f>I348</f>
        <v>21</v>
      </c>
      <c r="BX348" s="4" t="s">
        <v>755</v>
      </c>
    </row>
    <row r="349" spans="1:76" ht="14.35" x14ac:dyDescent="0.5">
      <c r="A349" s="34"/>
      <c r="D349" s="35" t="s">
        <v>756</v>
      </c>
      <c r="E349" s="35" t="s">
        <v>757</v>
      </c>
      <c r="G349" s="36">
        <v>112.7</v>
      </c>
      <c r="P349" s="37"/>
    </row>
    <row r="350" spans="1:76" ht="14.35" x14ac:dyDescent="0.5">
      <c r="A350" s="34"/>
      <c r="D350" s="35" t="s">
        <v>758</v>
      </c>
      <c r="E350" s="35" t="s">
        <v>759</v>
      </c>
      <c r="G350" s="36">
        <v>222.25</v>
      </c>
      <c r="P350" s="37"/>
    </row>
    <row r="351" spans="1:76" ht="14.35" x14ac:dyDescent="0.5">
      <c r="A351" s="34"/>
      <c r="D351" s="35" t="s">
        <v>760</v>
      </c>
      <c r="E351" s="35" t="s">
        <v>761</v>
      </c>
      <c r="G351" s="36">
        <v>21.92</v>
      </c>
      <c r="P351" s="37"/>
    </row>
    <row r="352" spans="1:76" ht="14.35" x14ac:dyDescent="0.5">
      <c r="A352" s="34"/>
      <c r="D352" s="35" t="s">
        <v>762</v>
      </c>
      <c r="E352" s="35" t="s">
        <v>763</v>
      </c>
      <c r="G352" s="36">
        <v>14.4</v>
      </c>
      <c r="P352" s="37"/>
    </row>
    <row r="353" spans="1:76" ht="14.35" x14ac:dyDescent="0.5">
      <c r="A353" s="34"/>
      <c r="D353" s="35" t="s">
        <v>764</v>
      </c>
      <c r="E353" s="35" t="s">
        <v>765</v>
      </c>
      <c r="G353" s="36">
        <v>13.45</v>
      </c>
      <c r="P353" s="37"/>
    </row>
    <row r="354" spans="1:76" ht="14.35" x14ac:dyDescent="0.5">
      <c r="A354" s="34"/>
      <c r="D354" s="35" t="s">
        <v>766</v>
      </c>
      <c r="E354" s="35" t="s">
        <v>767</v>
      </c>
      <c r="G354" s="36">
        <v>10.9</v>
      </c>
      <c r="P354" s="37"/>
    </row>
    <row r="355" spans="1:76" ht="14.35" x14ac:dyDescent="0.5">
      <c r="A355" s="2" t="s">
        <v>768</v>
      </c>
      <c r="B355" s="3" t="s">
        <v>49</v>
      </c>
      <c r="C355" s="3" t="s">
        <v>769</v>
      </c>
      <c r="D355" s="72" t="s">
        <v>770</v>
      </c>
      <c r="E355" s="73"/>
      <c r="F355" s="3" t="s">
        <v>55</v>
      </c>
      <c r="G355" s="31">
        <v>21.33</v>
      </c>
      <c r="H355" s="71"/>
      <c r="I355" s="32" t="s">
        <v>56</v>
      </c>
      <c r="J355" s="31">
        <f>G355*AO355</f>
        <v>0</v>
      </c>
      <c r="K355" s="31">
        <f>G355*AP355</f>
        <v>0</v>
      </c>
      <c r="L355" s="31">
        <f>G355*H355</f>
        <v>0</v>
      </c>
      <c r="M355" s="31">
        <f>L355*(1+BW355/100)</f>
        <v>0</v>
      </c>
      <c r="N355" s="31">
        <v>0.55000000000000004</v>
      </c>
      <c r="O355" s="31">
        <f>G355*N355</f>
        <v>11.7315</v>
      </c>
      <c r="P355" s="33" t="s">
        <v>57</v>
      </c>
      <c r="Z355" s="31">
        <f>IF(AQ355="5",BJ355,0)</f>
        <v>0</v>
      </c>
      <c r="AB355" s="31">
        <f>IF(AQ355="1",BH355,0)</f>
        <v>0</v>
      </c>
      <c r="AC355" s="31">
        <f>IF(AQ355="1",BI355,0)</f>
        <v>0</v>
      </c>
      <c r="AD355" s="31">
        <f>IF(AQ355="7",BH355,0)</f>
        <v>0</v>
      </c>
      <c r="AE355" s="31">
        <f>IF(AQ355="7",BI355,0)</f>
        <v>0</v>
      </c>
      <c r="AF355" s="31">
        <f>IF(AQ355="2",BH355,0)</f>
        <v>0</v>
      </c>
      <c r="AG355" s="31">
        <f>IF(AQ355="2",BI355,0)</f>
        <v>0</v>
      </c>
      <c r="AH355" s="31">
        <f>IF(AQ355="0",BJ355,0)</f>
        <v>0</v>
      </c>
      <c r="AI355" s="12" t="s">
        <v>49</v>
      </c>
      <c r="AJ355" s="31">
        <f>IF(AN355=0,L355,0)</f>
        <v>0</v>
      </c>
      <c r="AK355" s="31">
        <f>IF(AN355=12,L355,0)</f>
        <v>0</v>
      </c>
      <c r="AL355" s="31">
        <f>IF(AN355=21,L355,0)</f>
        <v>0</v>
      </c>
      <c r="AN355" s="31">
        <v>21</v>
      </c>
      <c r="AO355" s="31">
        <f>H355*1</f>
        <v>0</v>
      </c>
      <c r="AP355" s="31">
        <f>H355*(1-1)</f>
        <v>0</v>
      </c>
      <c r="AQ355" s="32" t="s">
        <v>91</v>
      </c>
      <c r="AV355" s="31">
        <f>AW355+AX355</f>
        <v>0</v>
      </c>
      <c r="AW355" s="31">
        <f>G355*AO355</f>
        <v>0</v>
      </c>
      <c r="AX355" s="31">
        <f>G355*AP355</f>
        <v>0</v>
      </c>
      <c r="AY355" s="32" t="s">
        <v>460</v>
      </c>
      <c r="AZ355" s="32" t="s">
        <v>461</v>
      </c>
      <c r="BA355" s="12" t="s">
        <v>60</v>
      </c>
      <c r="BC355" s="31">
        <f>AW355+AX355</f>
        <v>0</v>
      </c>
      <c r="BD355" s="31">
        <f>H355/(100-BE355)*100</f>
        <v>0</v>
      </c>
      <c r="BE355" s="31">
        <v>0</v>
      </c>
      <c r="BF355" s="31">
        <f>O355</f>
        <v>11.7315</v>
      </c>
      <c r="BH355" s="31">
        <f>G355*AO355</f>
        <v>0</v>
      </c>
      <c r="BI355" s="31">
        <f>G355*AP355</f>
        <v>0</v>
      </c>
      <c r="BJ355" s="31">
        <f>G355*H355</f>
        <v>0</v>
      </c>
      <c r="BK355" s="31"/>
      <c r="BL355" s="31">
        <v>762</v>
      </c>
      <c r="BW355" s="31" t="str">
        <f>I355</f>
        <v>21</v>
      </c>
      <c r="BX355" s="4" t="s">
        <v>770</v>
      </c>
    </row>
    <row r="356" spans="1:76" ht="14.35" x14ac:dyDescent="0.5">
      <c r="A356" s="34"/>
      <c r="D356" s="35" t="s">
        <v>771</v>
      </c>
      <c r="E356" s="35" t="s">
        <v>757</v>
      </c>
      <c r="G356" s="36">
        <v>5.68</v>
      </c>
      <c r="P356" s="37"/>
    </row>
    <row r="357" spans="1:76" ht="14.35" x14ac:dyDescent="0.5">
      <c r="A357" s="34"/>
      <c r="D357" s="35" t="s">
        <v>772</v>
      </c>
      <c r="E357" s="35" t="s">
        <v>759</v>
      </c>
      <c r="G357" s="36">
        <v>11.2</v>
      </c>
      <c r="P357" s="37"/>
    </row>
    <row r="358" spans="1:76" ht="14.35" x14ac:dyDescent="0.5">
      <c r="A358" s="34"/>
      <c r="D358" s="35" t="s">
        <v>773</v>
      </c>
      <c r="E358" s="35" t="s">
        <v>761</v>
      </c>
      <c r="G358" s="36">
        <v>1.1000000000000001</v>
      </c>
      <c r="P358" s="37"/>
    </row>
    <row r="359" spans="1:76" ht="14.35" x14ac:dyDescent="0.5">
      <c r="A359" s="34"/>
      <c r="D359" s="35" t="s">
        <v>774</v>
      </c>
      <c r="E359" s="35" t="s">
        <v>763</v>
      </c>
      <c r="G359" s="36">
        <v>0.73</v>
      </c>
      <c r="P359" s="37"/>
    </row>
    <row r="360" spans="1:76" ht="14.35" x14ac:dyDescent="0.5">
      <c r="A360" s="34"/>
      <c r="D360" s="35" t="s">
        <v>775</v>
      </c>
      <c r="E360" s="35" t="s">
        <v>765</v>
      </c>
      <c r="G360" s="36">
        <v>0.68</v>
      </c>
      <c r="P360" s="37"/>
    </row>
    <row r="361" spans="1:76" ht="14.35" x14ac:dyDescent="0.5">
      <c r="A361" s="34"/>
      <c r="D361" s="35" t="s">
        <v>776</v>
      </c>
      <c r="E361" s="35" t="s">
        <v>49</v>
      </c>
      <c r="G361" s="36">
        <v>1.94</v>
      </c>
      <c r="P361" s="37"/>
    </row>
    <row r="362" spans="1:76" ht="14.35" x14ac:dyDescent="0.5">
      <c r="A362" s="2" t="s">
        <v>777</v>
      </c>
      <c r="B362" s="3" t="s">
        <v>49</v>
      </c>
      <c r="C362" s="3" t="s">
        <v>778</v>
      </c>
      <c r="D362" s="72" t="s">
        <v>779</v>
      </c>
      <c r="E362" s="73"/>
      <c r="F362" s="3" t="s">
        <v>55</v>
      </c>
      <c r="G362" s="31">
        <v>1.08</v>
      </c>
      <c r="H362" s="71"/>
      <c r="I362" s="32" t="s">
        <v>56</v>
      </c>
      <c r="J362" s="31">
        <f>G362*AO362</f>
        <v>0</v>
      </c>
      <c r="K362" s="31">
        <f>G362*AP362</f>
        <v>0</v>
      </c>
      <c r="L362" s="31">
        <f>G362*H362</f>
        <v>0</v>
      </c>
      <c r="M362" s="31">
        <f>L362*(1+BW362/100)</f>
        <v>0</v>
      </c>
      <c r="N362" s="31">
        <v>0.55000000000000004</v>
      </c>
      <c r="O362" s="31">
        <f>G362*N362</f>
        <v>0.59400000000000008</v>
      </c>
      <c r="P362" s="33" t="s">
        <v>57</v>
      </c>
      <c r="Z362" s="31">
        <f>IF(AQ362="5",BJ362,0)</f>
        <v>0</v>
      </c>
      <c r="AB362" s="31">
        <f>IF(AQ362="1",BH362,0)</f>
        <v>0</v>
      </c>
      <c r="AC362" s="31">
        <f>IF(AQ362="1",BI362,0)</f>
        <v>0</v>
      </c>
      <c r="AD362" s="31">
        <f>IF(AQ362="7",BH362,0)</f>
        <v>0</v>
      </c>
      <c r="AE362" s="31">
        <f>IF(AQ362="7",BI362,0)</f>
        <v>0</v>
      </c>
      <c r="AF362" s="31">
        <f>IF(AQ362="2",BH362,0)</f>
        <v>0</v>
      </c>
      <c r="AG362" s="31">
        <f>IF(AQ362="2",BI362,0)</f>
        <v>0</v>
      </c>
      <c r="AH362" s="31">
        <f>IF(AQ362="0",BJ362,0)</f>
        <v>0</v>
      </c>
      <c r="AI362" s="12" t="s">
        <v>49</v>
      </c>
      <c r="AJ362" s="31">
        <f>IF(AN362=0,L362,0)</f>
        <v>0</v>
      </c>
      <c r="AK362" s="31">
        <f>IF(AN362=12,L362,0)</f>
        <v>0</v>
      </c>
      <c r="AL362" s="31">
        <f>IF(AN362=21,L362,0)</f>
        <v>0</v>
      </c>
      <c r="AN362" s="31">
        <v>21</v>
      </c>
      <c r="AO362" s="31">
        <f>H362*1</f>
        <v>0</v>
      </c>
      <c r="AP362" s="31">
        <f>H362*(1-1)</f>
        <v>0</v>
      </c>
      <c r="AQ362" s="32" t="s">
        <v>91</v>
      </c>
      <c r="AV362" s="31">
        <f>AW362+AX362</f>
        <v>0</v>
      </c>
      <c r="AW362" s="31">
        <f>G362*AO362</f>
        <v>0</v>
      </c>
      <c r="AX362" s="31">
        <f>G362*AP362</f>
        <v>0</v>
      </c>
      <c r="AY362" s="32" t="s">
        <v>460</v>
      </c>
      <c r="AZ362" s="32" t="s">
        <v>461</v>
      </c>
      <c r="BA362" s="12" t="s">
        <v>60</v>
      </c>
      <c r="BC362" s="31">
        <f>AW362+AX362</f>
        <v>0</v>
      </c>
      <c r="BD362" s="31">
        <f>H362/(100-BE362)*100</f>
        <v>0</v>
      </c>
      <c r="BE362" s="31">
        <v>0</v>
      </c>
      <c r="BF362" s="31">
        <f>O362</f>
        <v>0.59400000000000008</v>
      </c>
      <c r="BH362" s="31">
        <f>G362*AO362</f>
        <v>0</v>
      </c>
      <c r="BI362" s="31">
        <f>G362*AP362</f>
        <v>0</v>
      </c>
      <c r="BJ362" s="31">
        <f>G362*H362</f>
        <v>0</v>
      </c>
      <c r="BK362" s="31"/>
      <c r="BL362" s="31">
        <v>762</v>
      </c>
      <c r="BW362" s="31" t="str">
        <f>I362</f>
        <v>21</v>
      </c>
      <c r="BX362" s="4" t="s">
        <v>779</v>
      </c>
    </row>
    <row r="363" spans="1:76" ht="14.35" x14ac:dyDescent="0.5">
      <c r="A363" s="34"/>
      <c r="D363" s="35" t="s">
        <v>780</v>
      </c>
      <c r="E363" s="35" t="s">
        <v>49</v>
      </c>
      <c r="G363" s="36">
        <v>1.08</v>
      </c>
      <c r="P363" s="37"/>
    </row>
    <row r="364" spans="1:76" ht="14.35" x14ac:dyDescent="0.5">
      <c r="A364" s="2" t="s">
        <v>781</v>
      </c>
      <c r="B364" s="3" t="s">
        <v>49</v>
      </c>
      <c r="C364" s="3" t="s">
        <v>782</v>
      </c>
      <c r="D364" s="72" t="s">
        <v>783</v>
      </c>
      <c r="E364" s="73"/>
      <c r="F364" s="3" t="s">
        <v>150</v>
      </c>
      <c r="G364" s="31">
        <v>384.72</v>
      </c>
      <c r="H364" s="71"/>
      <c r="I364" s="32" t="s">
        <v>56</v>
      </c>
      <c r="J364" s="31">
        <f>G364*AO364</f>
        <v>0</v>
      </c>
      <c r="K364" s="31">
        <f>G364*AP364</f>
        <v>0</v>
      </c>
      <c r="L364" s="31">
        <f>G364*H364</f>
        <v>0</v>
      </c>
      <c r="M364" s="31">
        <f>L364*(1+BW364/100)</f>
        <v>0</v>
      </c>
      <c r="N364" s="31">
        <v>3.5909999999999997E-2</v>
      </c>
      <c r="O364" s="31">
        <f>G364*N364</f>
        <v>13.8152952</v>
      </c>
      <c r="P364" s="33" t="s">
        <v>57</v>
      </c>
      <c r="Z364" s="31">
        <f>IF(AQ364="5",BJ364,0)</f>
        <v>0</v>
      </c>
      <c r="AB364" s="31">
        <f>IF(AQ364="1",BH364,0)</f>
        <v>0</v>
      </c>
      <c r="AC364" s="31">
        <f>IF(AQ364="1",BI364,0)</f>
        <v>0</v>
      </c>
      <c r="AD364" s="31">
        <f>IF(AQ364="7",BH364,0)</f>
        <v>0</v>
      </c>
      <c r="AE364" s="31">
        <f>IF(AQ364="7",BI364,0)</f>
        <v>0</v>
      </c>
      <c r="AF364" s="31">
        <f>IF(AQ364="2",BH364,0)</f>
        <v>0</v>
      </c>
      <c r="AG364" s="31">
        <f>IF(AQ364="2",BI364,0)</f>
        <v>0</v>
      </c>
      <c r="AH364" s="31">
        <f>IF(AQ364="0",BJ364,0)</f>
        <v>0</v>
      </c>
      <c r="AI364" s="12" t="s">
        <v>49</v>
      </c>
      <c r="AJ364" s="31">
        <f>IF(AN364=0,L364,0)</f>
        <v>0</v>
      </c>
      <c r="AK364" s="31">
        <f>IF(AN364=12,L364,0)</f>
        <v>0</v>
      </c>
      <c r="AL364" s="31">
        <f>IF(AN364=21,L364,0)</f>
        <v>0</v>
      </c>
      <c r="AN364" s="31">
        <v>21</v>
      </c>
      <c r="AO364" s="31">
        <f>H364*0.01708561</f>
        <v>0</v>
      </c>
      <c r="AP364" s="31">
        <f>H364*(1-0.01708561)</f>
        <v>0</v>
      </c>
      <c r="AQ364" s="32" t="s">
        <v>91</v>
      </c>
      <c r="AV364" s="31">
        <f>AW364+AX364</f>
        <v>0</v>
      </c>
      <c r="AW364" s="31">
        <f>G364*AO364</f>
        <v>0</v>
      </c>
      <c r="AX364" s="31">
        <f>G364*AP364</f>
        <v>0</v>
      </c>
      <c r="AY364" s="32" t="s">
        <v>460</v>
      </c>
      <c r="AZ364" s="32" t="s">
        <v>461</v>
      </c>
      <c r="BA364" s="12" t="s">
        <v>60</v>
      </c>
      <c r="BC364" s="31">
        <f>AW364+AX364</f>
        <v>0</v>
      </c>
      <c r="BD364" s="31">
        <f>H364/(100-BE364)*100</f>
        <v>0</v>
      </c>
      <c r="BE364" s="31">
        <v>0</v>
      </c>
      <c r="BF364" s="31">
        <f>O364</f>
        <v>13.8152952</v>
      </c>
      <c r="BH364" s="31">
        <f>G364*AO364</f>
        <v>0</v>
      </c>
      <c r="BI364" s="31">
        <f>G364*AP364</f>
        <v>0</v>
      </c>
      <c r="BJ364" s="31">
        <f>G364*H364</f>
        <v>0</v>
      </c>
      <c r="BK364" s="31"/>
      <c r="BL364" s="31">
        <v>762</v>
      </c>
      <c r="BW364" s="31" t="str">
        <f>I364</f>
        <v>21</v>
      </c>
      <c r="BX364" s="4" t="s">
        <v>783</v>
      </c>
    </row>
    <row r="365" spans="1:76" ht="14.35" x14ac:dyDescent="0.5">
      <c r="A365" s="34"/>
      <c r="D365" s="35" t="s">
        <v>756</v>
      </c>
      <c r="E365" s="35" t="s">
        <v>757</v>
      </c>
      <c r="G365" s="36">
        <v>112.7</v>
      </c>
      <c r="P365" s="37"/>
    </row>
    <row r="366" spans="1:76" ht="14.35" x14ac:dyDescent="0.5">
      <c r="A366" s="34"/>
      <c r="D366" s="35" t="s">
        <v>784</v>
      </c>
      <c r="E366" s="35" t="s">
        <v>759</v>
      </c>
      <c r="G366" s="36">
        <v>222.25</v>
      </c>
      <c r="P366" s="37"/>
    </row>
    <row r="367" spans="1:76" ht="14.35" x14ac:dyDescent="0.5">
      <c r="A367" s="34"/>
      <c r="D367" s="35" t="s">
        <v>760</v>
      </c>
      <c r="E367" s="35" t="s">
        <v>761</v>
      </c>
      <c r="G367" s="36">
        <v>21.92</v>
      </c>
      <c r="P367" s="37"/>
    </row>
    <row r="368" spans="1:76" ht="14.35" x14ac:dyDescent="0.5">
      <c r="A368" s="34"/>
      <c r="D368" s="35" t="s">
        <v>762</v>
      </c>
      <c r="E368" s="35" t="s">
        <v>763</v>
      </c>
      <c r="G368" s="36">
        <v>14.4</v>
      </c>
      <c r="P368" s="37"/>
    </row>
    <row r="369" spans="1:76" ht="14.35" x14ac:dyDescent="0.5">
      <c r="A369" s="34"/>
      <c r="D369" s="35" t="s">
        <v>764</v>
      </c>
      <c r="E369" s="35" t="s">
        <v>765</v>
      </c>
      <c r="G369" s="36">
        <v>13.45</v>
      </c>
      <c r="P369" s="37"/>
    </row>
    <row r="370" spans="1:76" ht="14.35" x14ac:dyDescent="0.5">
      <c r="A370" s="2" t="s">
        <v>785</v>
      </c>
      <c r="B370" s="3" t="s">
        <v>49</v>
      </c>
      <c r="C370" s="3" t="s">
        <v>786</v>
      </c>
      <c r="D370" s="72" t="s">
        <v>787</v>
      </c>
      <c r="E370" s="73"/>
      <c r="F370" s="3" t="s">
        <v>150</v>
      </c>
      <c r="G370" s="31">
        <v>10.9</v>
      </c>
      <c r="H370" s="71"/>
      <c r="I370" s="32" t="s">
        <v>56</v>
      </c>
      <c r="J370" s="31">
        <f>G370*AO370</f>
        <v>0</v>
      </c>
      <c r="K370" s="31">
        <f>G370*AP370</f>
        <v>0</v>
      </c>
      <c r="L370" s="31">
        <f>G370*H370</f>
        <v>0</v>
      </c>
      <c r="M370" s="31">
        <f>L370*(1+BW370/100)</f>
        <v>0</v>
      </c>
      <c r="N370" s="31">
        <v>2.4910000000000002E-2</v>
      </c>
      <c r="O370" s="31">
        <f>G370*N370</f>
        <v>0.27151900000000001</v>
      </c>
      <c r="P370" s="33" t="s">
        <v>57</v>
      </c>
      <c r="Z370" s="31">
        <f>IF(AQ370="5",BJ370,0)</f>
        <v>0</v>
      </c>
      <c r="AB370" s="31">
        <f>IF(AQ370="1",BH370,0)</f>
        <v>0</v>
      </c>
      <c r="AC370" s="31">
        <f>IF(AQ370="1",BI370,0)</f>
        <v>0</v>
      </c>
      <c r="AD370" s="31">
        <f>IF(AQ370="7",BH370,0)</f>
        <v>0</v>
      </c>
      <c r="AE370" s="31">
        <f>IF(AQ370="7",BI370,0)</f>
        <v>0</v>
      </c>
      <c r="AF370" s="31">
        <f>IF(AQ370="2",BH370,0)</f>
        <v>0</v>
      </c>
      <c r="AG370" s="31">
        <f>IF(AQ370="2",BI370,0)</f>
        <v>0</v>
      </c>
      <c r="AH370" s="31">
        <f>IF(AQ370="0",BJ370,0)</f>
        <v>0</v>
      </c>
      <c r="AI370" s="12" t="s">
        <v>49</v>
      </c>
      <c r="AJ370" s="31">
        <f>IF(AN370=0,L370,0)</f>
        <v>0</v>
      </c>
      <c r="AK370" s="31">
        <f>IF(AN370=12,L370,0)</f>
        <v>0</v>
      </c>
      <c r="AL370" s="31">
        <f>IF(AN370=21,L370,0)</f>
        <v>0</v>
      </c>
      <c r="AN370" s="31">
        <v>21</v>
      </c>
      <c r="AO370" s="31">
        <f>H370*0.024425799</f>
        <v>0</v>
      </c>
      <c r="AP370" s="31">
        <f>H370*(1-0.024425799)</f>
        <v>0</v>
      </c>
      <c r="AQ370" s="32" t="s">
        <v>91</v>
      </c>
      <c r="AV370" s="31">
        <f>AW370+AX370</f>
        <v>0</v>
      </c>
      <c r="AW370" s="31">
        <f>G370*AO370</f>
        <v>0</v>
      </c>
      <c r="AX370" s="31">
        <f>G370*AP370</f>
        <v>0</v>
      </c>
      <c r="AY370" s="32" t="s">
        <v>460</v>
      </c>
      <c r="AZ370" s="32" t="s">
        <v>461</v>
      </c>
      <c r="BA370" s="12" t="s">
        <v>60</v>
      </c>
      <c r="BC370" s="31">
        <f>AW370+AX370</f>
        <v>0</v>
      </c>
      <c r="BD370" s="31">
        <f>H370/(100-BE370)*100</f>
        <v>0</v>
      </c>
      <c r="BE370" s="31">
        <v>0</v>
      </c>
      <c r="BF370" s="31">
        <f>O370</f>
        <v>0.27151900000000001</v>
      </c>
      <c r="BH370" s="31">
        <f>G370*AO370</f>
        <v>0</v>
      </c>
      <c r="BI370" s="31">
        <f>G370*AP370</f>
        <v>0</v>
      </c>
      <c r="BJ370" s="31">
        <f>G370*H370</f>
        <v>0</v>
      </c>
      <c r="BK370" s="31"/>
      <c r="BL370" s="31">
        <v>762</v>
      </c>
      <c r="BW370" s="31" t="str">
        <f>I370</f>
        <v>21</v>
      </c>
      <c r="BX370" s="4" t="s">
        <v>787</v>
      </c>
    </row>
    <row r="371" spans="1:76" ht="14.35" x14ac:dyDescent="0.5">
      <c r="A371" s="34"/>
      <c r="D371" s="35" t="s">
        <v>766</v>
      </c>
      <c r="E371" s="35" t="s">
        <v>767</v>
      </c>
      <c r="G371" s="36">
        <v>10.9</v>
      </c>
      <c r="P371" s="37"/>
    </row>
    <row r="372" spans="1:76" ht="14.35" x14ac:dyDescent="0.5">
      <c r="A372" s="2" t="s">
        <v>788</v>
      </c>
      <c r="B372" s="3" t="s">
        <v>49</v>
      </c>
      <c r="C372" s="3" t="s">
        <v>789</v>
      </c>
      <c r="D372" s="72" t="s">
        <v>790</v>
      </c>
      <c r="E372" s="73"/>
      <c r="F372" s="3" t="s">
        <v>125</v>
      </c>
      <c r="G372" s="31">
        <v>732.85</v>
      </c>
      <c r="H372" s="71"/>
      <c r="I372" s="32" t="s">
        <v>56</v>
      </c>
      <c r="J372" s="31">
        <f>G372*AO372</f>
        <v>0</v>
      </c>
      <c r="K372" s="31">
        <f>G372*AP372</f>
        <v>0</v>
      </c>
      <c r="L372" s="31">
        <f>G372*H372</f>
        <v>0</v>
      </c>
      <c r="M372" s="31">
        <f>L372*(1+BW372/100)</f>
        <v>0</v>
      </c>
      <c r="N372" s="31">
        <v>1.6000000000000001E-4</v>
      </c>
      <c r="O372" s="31">
        <f>G372*N372</f>
        <v>0.11725600000000001</v>
      </c>
      <c r="P372" s="33" t="s">
        <v>57</v>
      </c>
      <c r="Z372" s="31">
        <f>IF(AQ372="5",BJ372,0)</f>
        <v>0</v>
      </c>
      <c r="AB372" s="31">
        <f>IF(AQ372="1",BH372,0)</f>
        <v>0</v>
      </c>
      <c r="AC372" s="31">
        <f>IF(AQ372="1",BI372,0)</f>
        <v>0</v>
      </c>
      <c r="AD372" s="31">
        <f>IF(AQ372="7",BH372,0)</f>
        <v>0</v>
      </c>
      <c r="AE372" s="31">
        <f>IF(AQ372="7",BI372,0)</f>
        <v>0</v>
      </c>
      <c r="AF372" s="31">
        <f>IF(AQ372="2",BH372,0)</f>
        <v>0</v>
      </c>
      <c r="AG372" s="31">
        <f>IF(AQ372="2",BI372,0)</f>
        <v>0</v>
      </c>
      <c r="AH372" s="31">
        <f>IF(AQ372="0",BJ372,0)</f>
        <v>0</v>
      </c>
      <c r="AI372" s="12" t="s">
        <v>49</v>
      </c>
      <c r="AJ372" s="31">
        <f>IF(AN372=0,L372,0)</f>
        <v>0</v>
      </c>
      <c r="AK372" s="31">
        <f>IF(AN372=12,L372,0)</f>
        <v>0</v>
      </c>
      <c r="AL372" s="31">
        <f>IF(AN372=21,L372,0)</f>
        <v>0</v>
      </c>
      <c r="AN372" s="31">
        <v>21</v>
      </c>
      <c r="AO372" s="31">
        <f>H372*0.035938695</f>
        <v>0</v>
      </c>
      <c r="AP372" s="31">
        <f>H372*(1-0.035938695)</f>
        <v>0</v>
      </c>
      <c r="AQ372" s="32" t="s">
        <v>91</v>
      </c>
      <c r="AV372" s="31">
        <f>AW372+AX372</f>
        <v>0</v>
      </c>
      <c r="AW372" s="31">
        <f>G372*AO372</f>
        <v>0</v>
      </c>
      <c r="AX372" s="31">
        <f>G372*AP372</f>
        <v>0</v>
      </c>
      <c r="AY372" s="32" t="s">
        <v>460</v>
      </c>
      <c r="AZ372" s="32" t="s">
        <v>461</v>
      </c>
      <c r="BA372" s="12" t="s">
        <v>60</v>
      </c>
      <c r="BC372" s="31">
        <f>AW372+AX372</f>
        <v>0</v>
      </c>
      <c r="BD372" s="31">
        <f>H372/(100-BE372)*100</f>
        <v>0</v>
      </c>
      <c r="BE372" s="31">
        <v>0</v>
      </c>
      <c r="BF372" s="31">
        <f>O372</f>
        <v>0.11725600000000001</v>
      </c>
      <c r="BH372" s="31">
        <f>G372*AO372</f>
        <v>0</v>
      </c>
      <c r="BI372" s="31">
        <f>G372*AP372</f>
        <v>0</v>
      </c>
      <c r="BJ372" s="31">
        <f>G372*H372</f>
        <v>0</v>
      </c>
      <c r="BK372" s="31"/>
      <c r="BL372" s="31">
        <v>762</v>
      </c>
      <c r="BW372" s="31" t="str">
        <f>I372</f>
        <v>21</v>
      </c>
      <c r="BX372" s="4" t="s">
        <v>790</v>
      </c>
    </row>
    <row r="373" spans="1:76" ht="14.35" x14ac:dyDescent="0.5">
      <c r="A373" s="34"/>
      <c r="D373" s="35" t="s">
        <v>348</v>
      </c>
      <c r="E373" s="35" t="s">
        <v>791</v>
      </c>
      <c r="G373" s="36">
        <v>475.5</v>
      </c>
      <c r="P373" s="37"/>
    </row>
    <row r="374" spans="1:76" ht="14.35" x14ac:dyDescent="0.5">
      <c r="A374" s="34"/>
      <c r="D374" s="35" t="s">
        <v>350</v>
      </c>
      <c r="E374" s="35" t="s">
        <v>792</v>
      </c>
      <c r="G374" s="36">
        <v>231.43</v>
      </c>
      <c r="P374" s="37"/>
    </row>
    <row r="375" spans="1:76" ht="14.35" x14ac:dyDescent="0.5">
      <c r="A375" s="34"/>
      <c r="D375" s="35" t="s">
        <v>793</v>
      </c>
      <c r="E375" s="35" t="s">
        <v>794</v>
      </c>
      <c r="G375" s="36">
        <v>10.6</v>
      </c>
      <c r="P375" s="37"/>
    </row>
    <row r="376" spans="1:76" ht="14.35" x14ac:dyDescent="0.5">
      <c r="A376" s="34"/>
      <c r="D376" s="35" t="s">
        <v>795</v>
      </c>
      <c r="E376" s="35" t="s">
        <v>796</v>
      </c>
      <c r="G376" s="36">
        <v>15.32</v>
      </c>
      <c r="P376" s="37"/>
    </row>
    <row r="377" spans="1:76" ht="14.35" x14ac:dyDescent="0.5">
      <c r="A377" s="2" t="s">
        <v>797</v>
      </c>
      <c r="B377" s="3" t="s">
        <v>49</v>
      </c>
      <c r="C377" s="3" t="s">
        <v>798</v>
      </c>
      <c r="D377" s="72" t="s">
        <v>799</v>
      </c>
      <c r="E377" s="73"/>
      <c r="F377" s="3" t="s">
        <v>55</v>
      </c>
      <c r="G377" s="31">
        <v>20.149999999999999</v>
      </c>
      <c r="H377" s="71"/>
      <c r="I377" s="32" t="s">
        <v>56</v>
      </c>
      <c r="J377" s="31">
        <f>G377*AO377</f>
        <v>0</v>
      </c>
      <c r="K377" s="31">
        <f>G377*AP377</f>
        <v>0</v>
      </c>
      <c r="L377" s="31">
        <f>G377*H377</f>
        <v>0</v>
      </c>
      <c r="M377" s="31">
        <f>L377*(1+BW377/100)</f>
        <v>0</v>
      </c>
      <c r="N377" s="31">
        <v>0.55000000000000004</v>
      </c>
      <c r="O377" s="31">
        <f>G377*N377</f>
        <v>11.0825</v>
      </c>
      <c r="P377" s="33" t="s">
        <v>57</v>
      </c>
      <c r="Z377" s="31">
        <f>IF(AQ377="5",BJ377,0)</f>
        <v>0</v>
      </c>
      <c r="AB377" s="31">
        <f>IF(AQ377="1",BH377,0)</f>
        <v>0</v>
      </c>
      <c r="AC377" s="31">
        <f>IF(AQ377="1",BI377,0)</f>
        <v>0</v>
      </c>
      <c r="AD377" s="31">
        <f>IF(AQ377="7",BH377,0)</f>
        <v>0</v>
      </c>
      <c r="AE377" s="31">
        <f>IF(AQ377="7",BI377,0)</f>
        <v>0</v>
      </c>
      <c r="AF377" s="31">
        <f>IF(AQ377="2",BH377,0)</f>
        <v>0</v>
      </c>
      <c r="AG377" s="31">
        <f>IF(AQ377="2",BI377,0)</f>
        <v>0</v>
      </c>
      <c r="AH377" s="31">
        <f>IF(AQ377="0",BJ377,0)</f>
        <v>0</v>
      </c>
      <c r="AI377" s="12" t="s">
        <v>49</v>
      </c>
      <c r="AJ377" s="31">
        <f>IF(AN377=0,L377,0)</f>
        <v>0</v>
      </c>
      <c r="AK377" s="31">
        <f>IF(AN377=12,L377,0)</f>
        <v>0</v>
      </c>
      <c r="AL377" s="31">
        <f>IF(AN377=21,L377,0)</f>
        <v>0</v>
      </c>
      <c r="AN377" s="31">
        <v>21</v>
      </c>
      <c r="AO377" s="31">
        <f>H377*1</f>
        <v>0</v>
      </c>
      <c r="AP377" s="31">
        <f>H377*(1-1)</f>
        <v>0</v>
      </c>
      <c r="AQ377" s="32" t="s">
        <v>91</v>
      </c>
      <c r="AV377" s="31">
        <f>AW377+AX377</f>
        <v>0</v>
      </c>
      <c r="AW377" s="31">
        <f>G377*AO377</f>
        <v>0</v>
      </c>
      <c r="AX377" s="31">
        <f>G377*AP377</f>
        <v>0</v>
      </c>
      <c r="AY377" s="32" t="s">
        <v>460</v>
      </c>
      <c r="AZ377" s="32" t="s">
        <v>461</v>
      </c>
      <c r="BA377" s="12" t="s">
        <v>60</v>
      </c>
      <c r="BC377" s="31">
        <f>AW377+AX377</f>
        <v>0</v>
      </c>
      <c r="BD377" s="31">
        <f>H377/(100-BE377)*100</f>
        <v>0</v>
      </c>
      <c r="BE377" s="31">
        <v>0</v>
      </c>
      <c r="BF377" s="31">
        <f>O377</f>
        <v>11.0825</v>
      </c>
      <c r="BH377" s="31">
        <f>G377*AO377</f>
        <v>0</v>
      </c>
      <c r="BI377" s="31">
        <f>G377*AP377</f>
        <v>0</v>
      </c>
      <c r="BJ377" s="31">
        <f>G377*H377</f>
        <v>0</v>
      </c>
      <c r="BK377" s="31"/>
      <c r="BL377" s="31">
        <v>762</v>
      </c>
      <c r="BW377" s="31" t="str">
        <f>I377</f>
        <v>21</v>
      </c>
      <c r="BX377" s="4" t="s">
        <v>799</v>
      </c>
    </row>
    <row r="378" spans="1:76" ht="14.35" x14ac:dyDescent="0.5">
      <c r="A378" s="34"/>
      <c r="D378" s="35" t="s">
        <v>800</v>
      </c>
      <c r="E378" s="35" t="s">
        <v>49</v>
      </c>
      <c r="G378" s="36">
        <v>18.32</v>
      </c>
      <c r="P378" s="37"/>
    </row>
    <row r="379" spans="1:76" ht="14.35" x14ac:dyDescent="0.5">
      <c r="A379" s="34"/>
      <c r="D379" s="35" t="s">
        <v>801</v>
      </c>
      <c r="E379" s="35" t="s">
        <v>49</v>
      </c>
      <c r="G379" s="36">
        <v>1.83</v>
      </c>
      <c r="P379" s="37"/>
    </row>
    <row r="380" spans="1:76" ht="14.35" x14ac:dyDescent="0.5">
      <c r="A380" s="2" t="s">
        <v>802</v>
      </c>
      <c r="B380" s="3" t="s">
        <v>49</v>
      </c>
      <c r="C380" s="3" t="s">
        <v>803</v>
      </c>
      <c r="D380" s="72" t="s">
        <v>804</v>
      </c>
      <c r="E380" s="73"/>
      <c r="F380" s="3" t="s">
        <v>125</v>
      </c>
      <c r="G380" s="31">
        <v>732.85</v>
      </c>
      <c r="H380" s="71"/>
      <c r="I380" s="32" t="s">
        <v>56</v>
      </c>
      <c r="J380" s="31">
        <f>G380*AO380</f>
        <v>0</v>
      </c>
      <c r="K380" s="31">
        <f>G380*AP380</f>
        <v>0</v>
      </c>
      <c r="L380" s="31">
        <f>G380*H380</f>
        <v>0</v>
      </c>
      <c r="M380" s="31">
        <f>L380*(1+BW380/100)</f>
        <v>0</v>
      </c>
      <c r="N380" s="31">
        <v>6.4159999999999995E-2</v>
      </c>
      <c r="O380" s="31">
        <f>G380*N380</f>
        <v>47.019655999999998</v>
      </c>
      <c r="P380" s="33" t="s">
        <v>57</v>
      </c>
      <c r="Z380" s="31">
        <f>IF(AQ380="5",BJ380,0)</f>
        <v>0</v>
      </c>
      <c r="AB380" s="31">
        <f>IF(AQ380="1",BH380,0)</f>
        <v>0</v>
      </c>
      <c r="AC380" s="31">
        <f>IF(AQ380="1",BI380,0)</f>
        <v>0</v>
      </c>
      <c r="AD380" s="31">
        <f>IF(AQ380="7",BH380,0)</f>
        <v>0</v>
      </c>
      <c r="AE380" s="31">
        <f>IF(AQ380="7",BI380,0)</f>
        <v>0</v>
      </c>
      <c r="AF380" s="31">
        <f>IF(AQ380="2",BH380,0)</f>
        <v>0</v>
      </c>
      <c r="AG380" s="31">
        <f>IF(AQ380="2",BI380,0)</f>
        <v>0</v>
      </c>
      <c r="AH380" s="31">
        <f>IF(AQ380="0",BJ380,0)</f>
        <v>0</v>
      </c>
      <c r="AI380" s="12" t="s">
        <v>49</v>
      </c>
      <c r="AJ380" s="31">
        <f>IF(AN380=0,L380,0)</f>
        <v>0</v>
      </c>
      <c r="AK380" s="31">
        <f>IF(AN380=12,L380,0)</f>
        <v>0</v>
      </c>
      <c r="AL380" s="31">
        <f>IF(AN380=21,L380,0)</f>
        <v>0</v>
      </c>
      <c r="AN380" s="31">
        <v>21</v>
      </c>
      <c r="AO380" s="31">
        <f>H380*0.030653595</f>
        <v>0</v>
      </c>
      <c r="AP380" s="31">
        <f>H380*(1-0.030653595)</f>
        <v>0</v>
      </c>
      <c r="AQ380" s="32" t="s">
        <v>91</v>
      </c>
      <c r="AV380" s="31">
        <f>AW380+AX380</f>
        <v>0</v>
      </c>
      <c r="AW380" s="31">
        <f>G380*AO380</f>
        <v>0</v>
      </c>
      <c r="AX380" s="31">
        <f>G380*AP380</f>
        <v>0</v>
      </c>
      <c r="AY380" s="32" t="s">
        <v>460</v>
      </c>
      <c r="AZ380" s="32" t="s">
        <v>461</v>
      </c>
      <c r="BA380" s="12" t="s">
        <v>60</v>
      </c>
      <c r="BC380" s="31">
        <f>AW380+AX380</f>
        <v>0</v>
      </c>
      <c r="BD380" s="31">
        <f>H380/(100-BE380)*100</f>
        <v>0</v>
      </c>
      <c r="BE380" s="31">
        <v>0</v>
      </c>
      <c r="BF380" s="31">
        <f>O380</f>
        <v>47.019655999999998</v>
      </c>
      <c r="BH380" s="31">
        <f>G380*AO380</f>
        <v>0</v>
      </c>
      <c r="BI380" s="31">
        <f>G380*AP380</f>
        <v>0</v>
      </c>
      <c r="BJ380" s="31">
        <f>G380*H380</f>
        <v>0</v>
      </c>
      <c r="BK380" s="31"/>
      <c r="BL380" s="31">
        <v>762</v>
      </c>
      <c r="BW380" s="31" t="str">
        <f>I380</f>
        <v>21</v>
      </c>
      <c r="BX380" s="4" t="s">
        <v>804</v>
      </c>
    </row>
    <row r="381" spans="1:76" ht="14.35" x14ac:dyDescent="0.5">
      <c r="A381" s="2" t="s">
        <v>805</v>
      </c>
      <c r="B381" s="3" t="s">
        <v>49</v>
      </c>
      <c r="C381" s="3" t="s">
        <v>806</v>
      </c>
      <c r="D381" s="72" t="s">
        <v>807</v>
      </c>
      <c r="E381" s="73"/>
      <c r="F381" s="3" t="s">
        <v>55</v>
      </c>
      <c r="G381" s="31">
        <v>51.69</v>
      </c>
      <c r="H381" s="71"/>
      <c r="I381" s="32" t="s">
        <v>56</v>
      </c>
      <c r="J381" s="31">
        <f>G381*AO381</f>
        <v>0</v>
      </c>
      <c r="K381" s="31">
        <f>G381*AP381</f>
        <v>0</v>
      </c>
      <c r="L381" s="31">
        <f>G381*H381</f>
        <v>0</v>
      </c>
      <c r="M381" s="31">
        <f>L381*(1+BW381/100)</f>
        <v>0</v>
      </c>
      <c r="N381" s="31">
        <v>3.1099999999999999E-3</v>
      </c>
      <c r="O381" s="31">
        <f>G381*N381</f>
        <v>0.16075589999999998</v>
      </c>
      <c r="P381" s="33" t="s">
        <v>57</v>
      </c>
      <c r="Z381" s="31">
        <f>IF(AQ381="5",BJ381,0)</f>
        <v>0</v>
      </c>
      <c r="AB381" s="31">
        <f>IF(AQ381="1",BH381,0)</f>
        <v>0</v>
      </c>
      <c r="AC381" s="31">
        <f>IF(AQ381="1",BI381,0)</f>
        <v>0</v>
      </c>
      <c r="AD381" s="31">
        <f>IF(AQ381="7",BH381,0)</f>
        <v>0</v>
      </c>
      <c r="AE381" s="31">
        <f>IF(AQ381="7",BI381,0)</f>
        <v>0</v>
      </c>
      <c r="AF381" s="31">
        <f>IF(AQ381="2",BH381,0)</f>
        <v>0</v>
      </c>
      <c r="AG381" s="31">
        <f>IF(AQ381="2",BI381,0)</f>
        <v>0</v>
      </c>
      <c r="AH381" s="31">
        <f>IF(AQ381="0",BJ381,0)</f>
        <v>0</v>
      </c>
      <c r="AI381" s="12" t="s">
        <v>49</v>
      </c>
      <c r="AJ381" s="31">
        <f>IF(AN381=0,L381,0)</f>
        <v>0</v>
      </c>
      <c r="AK381" s="31">
        <f>IF(AN381=12,L381,0)</f>
        <v>0</v>
      </c>
      <c r="AL381" s="31">
        <f>IF(AN381=21,L381,0)</f>
        <v>0</v>
      </c>
      <c r="AN381" s="31">
        <v>21</v>
      </c>
      <c r="AO381" s="31">
        <f>H381*0.999999563</f>
        <v>0</v>
      </c>
      <c r="AP381" s="31">
        <f>H381*(1-0.999999563)</f>
        <v>0</v>
      </c>
      <c r="AQ381" s="32" t="s">
        <v>91</v>
      </c>
      <c r="AV381" s="31">
        <f>AW381+AX381</f>
        <v>0</v>
      </c>
      <c r="AW381" s="31">
        <f>G381*AO381</f>
        <v>0</v>
      </c>
      <c r="AX381" s="31">
        <f>G381*AP381</f>
        <v>0</v>
      </c>
      <c r="AY381" s="32" t="s">
        <v>460</v>
      </c>
      <c r="AZ381" s="32" t="s">
        <v>461</v>
      </c>
      <c r="BA381" s="12" t="s">
        <v>60</v>
      </c>
      <c r="BC381" s="31">
        <f>AW381+AX381</f>
        <v>0</v>
      </c>
      <c r="BD381" s="31">
        <f>H381/(100-BE381)*100</f>
        <v>0</v>
      </c>
      <c r="BE381" s="31">
        <v>0</v>
      </c>
      <c r="BF381" s="31">
        <f>O381</f>
        <v>0.16075589999999998</v>
      </c>
      <c r="BH381" s="31">
        <f>G381*AO381</f>
        <v>0</v>
      </c>
      <c r="BI381" s="31">
        <f>G381*AP381</f>
        <v>0</v>
      </c>
      <c r="BJ381" s="31">
        <f>G381*H381</f>
        <v>0</v>
      </c>
      <c r="BK381" s="31"/>
      <c r="BL381" s="31">
        <v>762</v>
      </c>
      <c r="BW381" s="31" t="str">
        <f>I381</f>
        <v>21</v>
      </c>
      <c r="BX381" s="4" t="s">
        <v>807</v>
      </c>
    </row>
    <row r="382" spans="1:76" ht="14.35" x14ac:dyDescent="0.5">
      <c r="A382" s="34"/>
      <c r="D382" s="35" t="s">
        <v>751</v>
      </c>
      <c r="E382" s="35" t="s">
        <v>49</v>
      </c>
      <c r="G382" s="36">
        <v>0.3</v>
      </c>
      <c r="P382" s="37"/>
    </row>
    <row r="383" spans="1:76" ht="14.35" x14ac:dyDescent="0.5">
      <c r="A383" s="34"/>
      <c r="D383" s="35" t="s">
        <v>808</v>
      </c>
      <c r="E383" s="35" t="s">
        <v>49</v>
      </c>
      <c r="G383" s="36">
        <v>19.940000000000001</v>
      </c>
      <c r="P383" s="37"/>
    </row>
    <row r="384" spans="1:76" ht="14.35" x14ac:dyDescent="0.5">
      <c r="A384" s="34"/>
      <c r="D384" s="35" t="s">
        <v>809</v>
      </c>
      <c r="E384" s="35" t="s">
        <v>49</v>
      </c>
      <c r="G384" s="36">
        <v>31.45</v>
      </c>
      <c r="P384" s="37"/>
    </row>
    <row r="385" spans="1:76" ht="14.35" x14ac:dyDescent="0.5">
      <c r="A385" s="2" t="s">
        <v>810</v>
      </c>
      <c r="B385" s="3" t="s">
        <v>49</v>
      </c>
      <c r="C385" s="3" t="s">
        <v>811</v>
      </c>
      <c r="D385" s="72" t="s">
        <v>812</v>
      </c>
      <c r="E385" s="73"/>
      <c r="F385" s="3" t="s">
        <v>290</v>
      </c>
      <c r="G385" s="31">
        <v>161.78</v>
      </c>
      <c r="H385" s="71"/>
      <c r="I385" s="32" t="s">
        <v>56</v>
      </c>
      <c r="J385" s="31">
        <f>G385*AO385</f>
        <v>0</v>
      </c>
      <c r="K385" s="31">
        <f>G385*AP385</f>
        <v>0</v>
      </c>
      <c r="L385" s="31">
        <f>G385*H385</f>
        <v>0</v>
      </c>
      <c r="M385" s="31">
        <f>L385*(1+BW385/100)</f>
        <v>0</v>
      </c>
      <c r="N385" s="31">
        <v>0</v>
      </c>
      <c r="O385" s="31">
        <f>G385*N385</f>
        <v>0</v>
      </c>
      <c r="P385" s="33" t="s">
        <v>57</v>
      </c>
      <c r="Z385" s="31">
        <f>IF(AQ385="5",BJ385,0)</f>
        <v>0</v>
      </c>
      <c r="AB385" s="31">
        <f>IF(AQ385="1",BH385,0)</f>
        <v>0</v>
      </c>
      <c r="AC385" s="31">
        <f>IF(AQ385="1",BI385,0)</f>
        <v>0</v>
      </c>
      <c r="AD385" s="31">
        <f>IF(AQ385="7",BH385,0)</f>
        <v>0</v>
      </c>
      <c r="AE385" s="31">
        <f>IF(AQ385="7",BI385,0)</f>
        <v>0</v>
      </c>
      <c r="AF385" s="31">
        <f>IF(AQ385="2",BH385,0)</f>
        <v>0</v>
      </c>
      <c r="AG385" s="31">
        <f>IF(AQ385="2",BI385,0)</f>
        <v>0</v>
      </c>
      <c r="AH385" s="31">
        <f>IF(AQ385="0",BJ385,0)</f>
        <v>0</v>
      </c>
      <c r="AI385" s="12" t="s">
        <v>49</v>
      </c>
      <c r="AJ385" s="31">
        <f>IF(AN385=0,L385,0)</f>
        <v>0</v>
      </c>
      <c r="AK385" s="31">
        <f>IF(AN385=12,L385,0)</f>
        <v>0</v>
      </c>
      <c r="AL385" s="31">
        <f>IF(AN385=21,L385,0)</f>
        <v>0</v>
      </c>
      <c r="AN385" s="31">
        <v>21</v>
      </c>
      <c r="AO385" s="31">
        <f>H385*0</f>
        <v>0</v>
      </c>
      <c r="AP385" s="31">
        <f>H385*(1-0)</f>
        <v>0</v>
      </c>
      <c r="AQ385" s="32" t="s">
        <v>81</v>
      </c>
      <c r="AV385" s="31">
        <f>AW385+AX385</f>
        <v>0</v>
      </c>
      <c r="AW385" s="31">
        <f>G385*AO385</f>
        <v>0</v>
      </c>
      <c r="AX385" s="31">
        <f>G385*AP385</f>
        <v>0</v>
      </c>
      <c r="AY385" s="32" t="s">
        <v>460</v>
      </c>
      <c r="AZ385" s="32" t="s">
        <v>461</v>
      </c>
      <c r="BA385" s="12" t="s">
        <v>60</v>
      </c>
      <c r="BC385" s="31">
        <f>AW385+AX385</f>
        <v>0</v>
      </c>
      <c r="BD385" s="31">
        <f>H385/(100-BE385)*100</f>
        <v>0</v>
      </c>
      <c r="BE385" s="31">
        <v>0</v>
      </c>
      <c r="BF385" s="31">
        <f>O385</f>
        <v>0</v>
      </c>
      <c r="BH385" s="31">
        <f>G385*AO385</f>
        <v>0</v>
      </c>
      <c r="BI385" s="31">
        <f>G385*AP385</f>
        <v>0</v>
      </c>
      <c r="BJ385" s="31">
        <f>G385*H385</f>
        <v>0</v>
      </c>
      <c r="BK385" s="31"/>
      <c r="BL385" s="31">
        <v>762</v>
      </c>
      <c r="BW385" s="31" t="str">
        <f>I385</f>
        <v>21</v>
      </c>
      <c r="BX385" s="4" t="s">
        <v>812</v>
      </c>
    </row>
    <row r="386" spans="1:76" ht="14.35" x14ac:dyDescent="0.5">
      <c r="A386" s="38" t="s">
        <v>49</v>
      </c>
      <c r="B386" s="39" t="s">
        <v>49</v>
      </c>
      <c r="C386" s="39" t="s">
        <v>813</v>
      </c>
      <c r="D386" s="126" t="s">
        <v>814</v>
      </c>
      <c r="E386" s="127"/>
      <c r="F386" s="40" t="s">
        <v>3</v>
      </c>
      <c r="G386" s="40" t="s">
        <v>3</v>
      </c>
      <c r="H386" s="40" t="s">
        <v>3</v>
      </c>
      <c r="I386" s="40" t="s">
        <v>3</v>
      </c>
      <c r="J386" s="1">
        <f>SUM(J387:J412)</f>
        <v>0</v>
      </c>
      <c r="K386" s="1">
        <f>SUM(K387:K412)</f>
        <v>0</v>
      </c>
      <c r="L386" s="1">
        <f>SUM(L387:L412)</f>
        <v>0</v>
      </c>
      <c r="M386" s="1">
        <f>SUM(M387:M412)</f>
        <v>0</v>
      </c>
      <c r="N386" s="12" t="s">
        <v>49</v>
      </c>
      <c r="O386" s="1">
        <f>SUM(O387:O412)</f>
        <v>1.5609665999999998</v>
      </c>
      <c r="P386" s="41" t="s">
        <v>49</v>
      </c>
      <c r="AI386" s="12" t="s">
        <v>49</v>
      </c>
      <c r="AS386" s="1">
        <f>SUM(AJ387:AJ412)</f>
        <v>0</v>
      </c>
      <c r="AT386" s="1">
        <f>SUM(AK387:AK412)</f>
        <v>0</v>
      </c>
      <c r="AU386" s="1">
        <f>SUM(AL387:AL412)</f>
        <v>0</v>
      </c>
    </row>
    <row r="387" spans="1:76" ht="14.35" x14ac:dyDescent="0.5">
      <c r="A387" s="2" t="s">
        <v>815</v>
      </c>
      <c r="B387" s="3" t="s">
        <v>49</v>
      </c>
      <c r="C387" s="3" t="s">
        <v>816</v>
      </c>
      <c r="D387" s="72" t="s">
        <v>817</v>
      </c>
      <c r="E387" s="73"/>
      <c r="F387" s="3" t="s">
        <v>150</v>
      </c>
      <c r="G387" s="31">
        <v>15.5</v>
      </c>
      <c r="H387" s="71"/>
      <c r="I387" s="32" t="s">
        <v>56</v>
      </c>
      <c r="J387" s="31">
        <f>G387*AO387</f>
        <v>0</v>
      </c>
      <c r="K387" s="31">
        <f>G387*AP387</f>
        <v>0</v>
      </c>
      <c r="L387" s="31">
        <f>G387*H387</f>
        <v>0</v>
      </c>
      <c r="M387" s="31">
        <f>L387*(1+BW387/100)</f>
        <v>0</v>
      </c>
      <c r="N387" s="31">
        <v>2.0999999999999999E-3</v>
      </c>
      <c r="O387" s="31">
        <f>G387*N387</f>
        <v>3.2549999999999996E-2</v>
      </c>
      <c r="P387" s="33" t="s">
        <v>57</v>
      </c>
      <c r="Z387" s="31">
        <f>IF(AQ387="5",BJ387,0)</f>
        <v>0</v>
      </c>
      <c r="AB387" s="31">
        <f>IF(AQ387="1",BH387,0)</f>
        <v>0</v>
      </c>
      <c r="AC387" s="31">
        <f>IF(AQ387="1",BI387,0)</f>
        <v>0</v>
      </c>
      <c r="AD387" s="31">
        <f>IF(AQ387="7",BH387,0)</f>
        <v>0</v>
      </c>
      <c r="AE387" s="31">
        <f>IF(AQ387="7",BI387,0)</f>
        <v>0</v>
      </c>
      <c r="AF387" s="31">
        <f>IF(AQ387="2",BH387,0)</f>
        <v>0</v>
      </c>
      <c r="AG387" s="31">
        <f>IF(AQ387="2",BI387,0)</f>
        <v>0</v>
      </c>
      <c r="AH387" s="31">
        <f>IF(AQ387="0",BJ387,0)</f>
        <v>0</v>
      </c>
      <c r="AI387" s="12" t="s">
        <v>49</v>
      </c>
      <c r="AJ387" s="31">
        <f>IF(AN387=0,L387,0)</f>
        <v>0</v>
      </c>
      <c r="AK387" s="31">
        <f>IF(AN387=12,L387,0)</f>
        <v>0</v>
      </c>
      <c r="AL387" s="31">
        <f>IF(AN387=21,L387,0)</f>
        <v>0</v>
      </c>
      <c r="AN387" s="31">
        <v>21</v>
      </c>
      <c r="AO387" s="31">
        <f>H387*0.856812715</f>
        <v>0</v>
      </c>
      <c r="AP387" s="31">
        <f>H387*(1-0.856812715)</f>
        <v>0</v>
      </c>
      <c r="AQ387" s="32" t="s">
        <v>91</v>
      </c>
      <c r="AV387" s="31">
        <f>AW387+AX387</f>
        <v>0</v>
      </c>
      <c r="AW387" s="31">
        <f>G387*AO387</f>
        <v>0</v>
      </c>
      <c r="AX387" s="31">
        <f>G387*AP387</f>
        <v>0</v>
      </c>
      <c r="AY387" s="32" t="s">
        <v>818</v>
      </c>
      <c r="AZ387" s="32" t="s">
        <v>461</v>
      </c>
      <c r="BA387" s="12" t="s">
        <v>60</v>
      </c>
      <c r="BC387" s="31">
        <f>AW387+AX387</f>
        <v>0</v>
      </c>
      <c r="BD387" s="31">
        <f>H387/(100-BE387)*100</f>
        <v>0</v>
      </c>
      <c r="BE387" s="31">
        <v>0</v>
      </c>
      <c r="BF387" s="31">
        <f>O387</f>
        <v>3.2549999999999996E-2</v>
      </c>
      <c r="BH387" s="31">
        <f>G387*AO387</f>
        <v>0</v>
      </c>
      <c r="BI387" s="31">
        <f>G387*AP387</f>
        <v>0</v>
      </c>
      <c r="BJ387" s="31">
        <f>G387*H387</f>
        <v>0</v>
      </c>
      <c r="BK387" s="31"/>
      <c r="BL387" s="31">
        <v>764</v>
      </c>
      <c r="BW387" s="31" t="str">
        <f>I387</f>
        <v>21</v>
      </c>
      <c r="BX387" s="4" t="s">
        <v>817</v>
      </c>
    </row>
    <row r="388" spans="1:76" ht="14.35" x14ac:dyDescent="0.5">
      <c r="A388" s="34"/>
      <c r="D388" s="35" t="s">
        <v>819</v>
      </c>
      <c r="E388" s="35" t="s">
        <v>820</v>
      </c>
      <c r="G388" s="36">
        <v>15.5</v>
      </c>
      <c r="P388" s="37"/>
    </row>
    <row r="389" spans="1:76" ht="14.35" x14ac:dyDescent="0.5">
      <c r="A389" s="2" t="s">
        <v>821</v>
      </c>
      <c r="B389" s="3" t="s">
        <v>49</v>
      </c>
      <c r="C389" s="3" t="s">
        <v>822</v>
      </c>
      <c r="D389" s="72" t="s">
        <v>823</v>
      </c>
      <c r="E389" s="73"/>
      <c r="F389" s="3" t="s">
        <v>125</v>
      </c>
      <c r="G389" s="31">
        <v>10.199999999999999</v>
      </c>
      <c r="H389" s="71"/>
      <c r="I389" s="32" t="s">
        <v>56</v>
      </c>
      <c r="J389" s="31">
        <f>G389*AO389</f>
        <v>0</v>
      </c>
      <c r="K389" s="31">
        <f>G389*AP389</f>
        <v>0</v>
      </c>
      <c r="L389" s="31">
        <f>G389*H389</f>
        <v>0</v>
      </c>
      <c r="M389" s="31">
        <f>L389*(1+BW389/100)</f>
        <v>0</v>
      </c>
      <c r="N389" s="31">
        <v>1.021E-2</v>
      </c>
      <c r="O389" s="31">
        <f>G389*N389</f>
        <v>0.104142</v>
      </c>
      <c r="P389" s="33" t="s">
        <v>57</v>
      </c>
      <c r="Z389" s="31">
        <f>IF(AQ389="5",BJ389,0)</f>
        <v>0</v>
      </c>
      <c r="AB389" s="31">
        <f>IF(AQ389="1",BH389,0)</f>
        <v>0</v>
      </c>
      <c r="AC389" s="31">
        <f>IF(AQ389="1",BI389,0)</f>
        <v>0</v>
      </c>
      <c r="AD389" s="31">
        <f>IF(AQ389="7",BH389,0)</f>
        <v>0</v>
      </c>
      <c r="AE389" s="31">
        <f>IF(AQ389="7",BI389,0)</f>
        <v>0</v>
      </c>
      <c r="AF389" s="31">
        <f>IF(AQ389="2",BH389,0)</f>
        <v>0</v>
      </c>
      <c r="AG389" s="31">
        <f>IF(AQ389="2",BI389,0)</f>
        <v>0</v>
      </c>
      <c r="AH389" s="31">
        <f>IF(AQ389="0",BJ389,0)</f>
        <v>0</v>
      </c>
      <c r="AI389" s="12" t="s">
        <v>49</v>
      </c>
      <c r="AJ389" s="31">
        <f>IF(AN389=0,L389,0)</f>
        <v>0</v>
      </c>
      <c r="AK389" s="31">
        <f>IF(AN389=12,L389,0)</f>
        <v>0</v>
      </c>
      <c r="AL389" s="31">
        <f>IF(AN389=21,L389,0)</f>
        <v>0</v>
      </c>
      <c r="AN389" s="31">
        <v>21</v>
      </c>
      <c r="AO389" s="31">
        <f>H389*0.657923479</f>
        <v>0</v>
      </c>
      <c r="AP389" s="31">
        <f>H389*(1-0.657923479)</f>
        <v>0</v>
      </c>
      <c r="AQ389" s="32" t="s">
        <v>91</v>
      </c>
      <c r="AV389" s="31">
        <f>AW389+AX389</f>
        <v>0</v>
      </c>
      <c r="AW389" s="31">
        <f>G389*AO389</f>
        <v>0</v>
      </c>
      <c r="AX389" s="31">
        <f>G389*AP389</f>
        <v>0</v>
      </c>
      <c r="AY389" s="32" t="s">
        <v>818</v>
      </c>
      <c r="AZ389" s="32" t="s">
        <v>461</v>
      </c>
      <c r="BA389" s="12" t="s">
        <v>60</v>
      </c>
      <c r="BC389" s="31">
        <f>AW389+AX389</f>
        <v>0</v>
      </c>
      <c r="BD389" s="31">
        <f>H389/(100-BE389)*100</f>
        <v>0</v>
      </c>
      <c r="BE389" s="31">
        <v>0</v>
      </c>
      <c r="BF389" s="31">
        <f>O389</f>
        <v>0.104142</v>
      </c>
      <c r="BH389" s="31">
        <f>G389*AO389</f>
        <v>0</v>
      </c>
      <c r="BI389" s="31">
        <f>G389*AP389</f>
        <v>0</v>
      </c>
      <c r="BJ389" s="31">
        <f>G389*H389</f>
        <v>0</v>
      </c>
      <c r="BK389" s="31"/>
      <c r="BL389" s="31">
        <v>764</v>
      </c>
      <c r="BW389" s="31" t="str">
        <f>I389</f>
        <v>21</v>
      </c>
      <c r="BX389" s="4" t="s">
        <v>823</v>
      </c>
    </row>
    <row r="390" spans="1:76" ht="14.35" x14ac:dyDescent="0.5">
      <c r="A390" s="34"/>
      <c r="D390" s="35" t="s">
        <v>824</v>
      </c>
      <c r="E390" s="35" t="s">
        <v>49</v>
      </c>
      <c r="G390" s="36">
        <v>2.2599999999999998</v>
      </c>
      <c r="P390" s="37"/>
    </row>
    <row r="391" spans="1:76" ht="14.35" x14ac:dyDescent="0.5">
      <c r="A391" s="34"/>
      <c r="D391" s="35" t="s">
        <v>825</v>
      </c>
      <c r="E391" s="35" t="s">
        <v>49</v>
      </c>
      <c r="G391" s="36">
        <v>1.56</v>
      </c>
      <c r="P391" s="37"/>
    </row>
    <row r="392" spans="1:76" ht="14.35" x14ac:dyDescent="0.5">
      <c r="A392" s="34"/>
      <c r="D392" s="35" t="s">
        <v>826</v>
      </c>
      <c r="E392" s="35" t="s">
        <v>49</v>
      </c>
      <c r="G392" s="36">
        <v>2.38</v>
      </c>
      <c r="P392" s="37"/>
    </row>
    <row r="393" spans="1:76" ht="14.35" x14ac:dyDescent="0.5">
      <c r="A393" s="34"/>
      <c r="D393" s="35" t="s">
        <v>827</v>
      </c>
      <c r="E393" s="35" t="s">
        <v>49</v>
      </c>
      <c r="G393" s="36">
        <v>2.2999999999999998</v>
      </c>
      <c r="P393" s="37"/>
    </row>
    <row r="394" spans="1:76" ht="14.35" x14ac:dyDescent="0.5">
      <c r="A394" s="34"/>
      <c r="D394" s="35" t="s">
        <v>828</v>
      </c>
      <c r="E394" s="35" t="s">
        <v>49</v>
      </c>
      <c r="G394" s="36">
        <v>1.7</v>
      </c>
      <c r="P394" s="37"/>
    </row>
    <row r="395" spans="1:76" ht="14.35" x14ac:dyDescent="0.5">
      <c r="A395" s="2" t="s">
        <v>829</v>
      </c>
      <c r="B395" s="3" t="s">
        <v>49</v>
      </c>
      <c r="C395" s="3" t="s">
        <v>830</v>
      </c>
      <c r="D395" s="72" t="s">
        <v>831</v>
      </c>
      <c r="E395" s="73"/>
      <c r="F395" s="3" t="s">
        <v>179</v>
      </c>
      <c r="G395" s="31">
        <v>4</v>
      </c>
      <c r="H395" s="71"/>
      <c r="I395" s="32" t="s">
        <v>56</v>
      </c>
      <c r="J395" s="31">
        <f>G395*AO395</f>
        <v>0</v>
      </c>
      <c r="K395" s="31">
        <f>G395*AP395</f>
        <v>0</v>
      </c>
      <c r="L395" s="31">
        <f>G395*H395</f>
        <v>0</v>
      </c>
      <c r="M395" s="31">
        <f>L395*(1+BW395/100)</f>
        <v>0</v>
      </c>
      <c r="N395" s="31">
        <v>6.8000000000000005E-4</v>
      </c>
      <c r="O395" s="31">
        <f>G395*N395</f>
        <v>2.7200000000000002E-3</v>
      </c>
      <c r="P395" s="33" t="s">
        <v>57</v>
      </c>
      <c r="Z395" s="31">
        <f>IF(AQ395="5",BJ395,0)</f>
        <v>0</v>
      </c>
      <c r="AB395" s="31">
        <f>IF(AQ395="1",BH395,0)</f>
        <v>0</v>
      </c>
      <c r="AC395" s="31">
        <f>IF(AQ395="1",BI395,0)</f>
        <v>0</v>
      </c>
      <c r="AD395" s="31">
        <f>IF(AQ395="7",BH395,0)</f>
        <v>0</v>
      </c>
      <c r="AE395" s="31">
        <f>IF(AQ395="7",BI395,0)</f>
        <v>0</v>
      </c>
      <c r="AF395" s="31">
        <f>IF(AQ395="2",BH395,0)</f>
        <v>0</v>
      </c>
      <c r="AG395" s="31">
        <f>IF(AQ395="2",BI395,0)</f>
        <v>0</v>
      </c>
      <c r="AH395" s="31">
        <f>IF(AQ395="0",BJ395,0)</f>
        <v>0</v>
      </c>
      <c r="AI395" s="12" t="s">
        <v>49</v>
      </c>
      <c r="AJ395" s="31">
        <f>IF(AN395=0,L395,0)</f>
        <v>0</v>
      </c>
      <c r="AK395" s="31">
        <f>IF(AN395=12,L395,0)</f>
        <v>0</v>
      </c>
      <c r="AL395" s="31">
        <f>IF(AN395=21,L395,0)</f>
        <v>0</v>
      </c>
      <c r="AN395" s="31">
        <v>21</v>
      </c>
      <c r="AO395" s="31">
        <f>H395*0.503709011</f>
        <v>0</v>
      </c>
      <c r="AP395" s="31">
        <f>H395*(1-0.503709011)</f>
        <v>0</v>
      </c>
      <c r="AQ395" s="32" t="s">
        <v>91</v>
      </c>
      <c r="AV395" s="31">
        <f>AW395+AX395</f>
        <v>0</v>
      </c>
      <c r="AW395" s="31">
        <f>G395*AO395</f>
        <v>0</v>
      </c>
      <c r="AX395" s="31">
        <f>G395*AP395</f>
        <v>0</v>
      </c>
      <c r="AY395" s="32" t="s">
        <v>818</v>
      </c>
      <c r="AZ395" s="32" t="s">
        <v>461</v>
      </c>
      <c r="BA395" s="12" t="s">
        <v>60</v>
      </c>
      <c r="BC395" s="31">
        <f>AW395+AX395</f>
        <v>0</v>
      </c>
      <c r="BD395" s="31">
        <f>H395/(100-BE395)*100</f>
        <v>0</v>
      </c>
      <c r="BE395" s="31">
        <v>0</v>
      </c>
      <c r="BF395" s="31">
        <f>O395</f>
        <v>2.7200000000000002E-3</v>
      </c>
      <c r="BH395" s="31">
        <f>G395*AO395</f>
        <v>0</v>
      </c>
      <c r="BI395" s="31">
        <f>G395*AP395</f>
        <v>0</v>
      </c>
      <c r="BJ395" s="31">
        <f>G395*H395</f>
        <v>0</v>
      </c>
      <c r="BK395" s="31"/>
      <c r="BL395" s="31">
        <v>764</v>
      </c>
      <c r="BW395" s="31" t="str">
        <f>I395</f>
        <v>21</v>
      </c>
      <c r="BX395" s="4" t="s">
        <v>831</v>
      </c>
    </row>
    <row r="396" spans="1:76" ht="14.35" x14ac:dyDescent="0.5">
      <c r="A396" s="2" t="s">
        <v>832</v>
      </c>
      <c r="B396" s="3" t="s">
        <v>49</v>
      </c>
      <c r="C396" s="3" t="s">
        <v>833</v>
      </c>
      <c r="D396" s="72" t="s">
        <v>834</v>
      </c>
      <c r="E396" s="73"/>
      <c r="F396" s="3" t="s">
        <v>150</v>
      </c>
      <c r="G396" s="31">
        <v>116.11</v>
      </c>
      <c r="H396" s="71"/>
      <c r="I396" s="32" t="s">
        <v>56</v>
      </c>
      <c r="J396" s="31">
        <f>G396*AO396</f>
        <v>0</v>
      </c>
      <c r="K396" s="31">
        <f>G396*AP396</f>
        <v>0</v>
      </c>
      <c r="L396" s="31">
        <f>G396*H396</f>
        <v>0</v>
      </c>
      <c r="M396" s="31">
        <f>L396*(1+BW396/100)</f>
        <v>0</v>
      </c>
      <c r="N396" s="31">
        <v>3.8500000000000001E-3</v>
      </c>
      <c r="O396" s="31">
        <f>G396*N396</f>
        <v>0.44702350000000002</v>
      </c>
      <c r="P396" s="33" t="s">
        <v>57</v>
      </c>
      <c r="Z396" s="31">
        <f>IF(AQ396="5",BJ396,0)</f>
        <v>0</v>
      </c>
      <c r="AB396" s="31">
        <f>IF(AQ396="1",BH396,0)</f>
        <v>0</v>
      </c>
      <c r="AC396" s="31">
        <f>IF(AQ396="1",BI396,0)</f>
        <v>0</v>
      </c>
      <c r="AD396" s="31">
        <f>IF(AQ396="7",BH396,0)</f>
        <v>0</v>
      </c>
      <c r="AE396" s="31">
        <f>IF(AQ396="7",BI396,0)</f>
        <v>0</v>
      </c>
      <c r="AF396" s="31">
        <f>IF(AQ396="2",BH396,0)</f>
        <v>0</v>
      </c>
      <c r="AG396" s="31">
        <f>IF(AQ396="2",BI396,0)</f>
        <v>0</v>
      </c>
      <c r="AH396" s="31">
        <f>IF(AQ396="0",BJ396,0)</f>
        <v>0</v>
      </c>
      <c r="AI396" s="12" t="s">
        <v>49</v>
      </c>
      <c r="AJ396" s="31">
        <f>IF(AN396=0,L396,0)</f>
        <v>0</v>
      </c>
      <c r="AK396" s="31">
        <f>IF(AN396=12,L396,0)</f>
        <v>0</v>
      </c>
      <c r="AL396" s="31">
        <f>IF(AN396=21,L396,0)</f>
        <v>0</v>
      </c>
      <c r="AN396" s="31">
        <v>21</v>
      </c>
      <c r="AO396" s="31">
        <f>H396*0.814281965</f>
        <v>0</v>
      </c>
      <c r="AP396" s="31">
        <f>H396*(1-0.814281965)</f>
        <v>0</v>
      </c>
      <c r="AQ396" s="32" t="s">
        <v>91</v>
      </c>
      <c r="AV396" s="31">
        <f>AW396+AX396</f>
        <v>0</v>
      </c>
      <c r="AW396" s="31">
        <f>G396*AO396</f>
        <v>0</v>
      </c>
      <c r="AX396" s="31">
        <f>G396*AP396</f>
        <v>0</v>
      </c>
      <c r="AY396" s="32" t="s">
        <v>818</v>
      </c>
      <c r="AZ396" s="32" t="s">
        <v>461</v>
      </c>
      <c r="BA396" s="12" t="s">
        <v>60</v>
      </c>
      <c r="BC396" s="31">
        <f>AW396+AX396</f>
        <v>0</v>
      </c>
      <c r="BD396" s="31">
        <f>H396/(100-BE396)*100</f>
        <v>0</v>
      </c>
      <c r="BE396" s="31">
        <v>0</v>
      </c>
      <c r="BF396" s="31">
        <f>O396</f>
        <v>0.44702350000000002</v>
      </c>
      <c r="BH396" s="31">
        <f>G396*AO396</f>
        <v>0</v>
      </c>
      <c r="BI396" s="31">
        <f>G396*AP396</f>
        <v>0</v>
      </c>
      <c r="BJ396" s="31">
        <f>G396*H396</f>
        <v>0</v>
      </c>
      <c r="BK396" s="31"/>
      <c r="BL396" s="31">
        <v>764</v>
      </c>
      <c r="BW396" s="31" t="str">
        <f>I396</f>
        <v>21</v>
      </c>
      <c r="BX396" s="4" t="s">
        <v>834</v>
      </c>
    </row>
    <row r="397" spans="1:76" ht="14.35" x14ac:dyDescent="0.5">
      <c r="A397" s="34"/>
      <c r="D397" s="35" t="s">
        <v>835</v>
      </c>
      <c r="E397" s="35" t="s">
        <v>836</v>
      </c>
      <c r="G397" s="36">
        <v>116.11</v>
      </c>
      <c r="P397" s="37"/>
    </row>
    <row r="398" spans="1:76" ht="14.35" x14ac:dyDescent="0.5">
      <c r="A398" s="2" t="s">
        <v>837</v>
      </c>
      <c r="B398" s="3" t="s">
        <v>49</v>
      </c>
      <c r="C398" s="3" t="s">
        <v>838</v>
      </c>
      <c r="D398" s="72" t="s">
        <v>839</v>
      </c>
      <c r="E398" s="73"/>
      <c r="F398" s="3" t="s">
        <v>179</v>
      </c>
      <c r="G398" s="31">
        <v>130</v>
      </c>
      <c r="H398" s="71"/>
      <c r="I398" s="32" t="s">
        <v>56</v>
      </c>
      <c r="J398" s="31">
        <f>G398*AO398</f>
        <v>0</v>
      </c>
      <c r="K398" s="31">
        <f>G398*AP398</f>
        <v>0</v>
      </c>
      <c r="L398" s="31">
        <f>G398*H398</f>
        <v>0</v>
      </c>
      <c r="M398" s="31">
        <f>L398*(1+BW398/100)</f>
        <v>0</v>
      </c>
      <c r="N398" s="31">
        <v>6.0000000000000002E-5</v>
      </c>
      <c r="O398" s="31">
        <f>G398*N398</f>
        <v>7.8000000000000005E-3</v>
      </c>
      <c r="P398" s="33" t="s">
        <v>57</v>
      </c>
      <c r="Z398" s="31">
        <f>IF(AQ398="5",BJ398,0)</f>
        <v>0</v>
      </c>
      <c r="AB398" s="31">
        <f>IF(AQ398="1",BH398,0)</f>
        <v>0</v>
      </c>
      <c r="AC398" s="31">
        <f>IF(AQ398="1",BI398,0)</f>
        <v>0</v>
      </c>
      <c r="AD398" s="31">
        <f>IF(AQ398="7",BH398,0)</f>
        <v>0</v>
      </c>
      <c r="AE398" s="31">
        <f>IF(AQ398="7",BI398,0)</f>
        <v>0</v>
      </c>
      <c r="AF398" s="31">
        <f>IF(AQ398="2",BH398,0)</f>
        <v>0</v>
      </c>
      <c r="AG398" s="31">
        <f>IF(AQ398="2",BI398,0)</f>
        <v>0</v>
      </c>
      <c r="AH398" s="31">
        <f>IF(AQ398="0",BJ398,0)</f>
        <v>0</v>
      </c>
      <c r="AI398" s="12" t="s">
        <v>49</v>
      </c>
      <c r="AJ398" s="31">
        <f>IF(AN398=0,L398,0)</f>
        <v>0</v>
      </c>
      <c r="AK398" s="31">
        <f>IF(AN398=12,L398,0)</f>
        <v>0</v>
      </c>
      <c r="AL398" s="31">
        <f>IF(AN398=21,L398,0)</f>
        <v>0</v>
      </c>
      <c r="AN398" s="31">
        <v>21</v>
      </c>
      <c r="AO398" s="31">
        <f>H398*0.263943662</f>
        <v>0</v>
      </c>
      <c r="AP398" s="31">
        <f>H398*(1-0.263943662)</f>
        <v>0</v>
      </c>
      <c r="AQ398" s="32" t="s">
        <v>91</v>
      </c>
      <c r="AV398" s="31">
        <f>AW398+AX398</f>
        <v>0</v>
      </c>
      <c r="AW398" s="31">
        <f>G398*AO398</f>
        <v>0</v>
      </c>
      <c r="AX398" s="31">
        <f>G398*AP398</f>
        <v>0</v>
      </c>
      <c r="AY398" s="32" t="s">
        <v>818</v>
      </c>
      <c r="AZ398" s="32" t="s">
        <v>461</v>
      </c>
      <c r="BA398" s="12" t="s">
        <v>60</v>
      </c>
      <c r="BC398" s="31">
        <f>AW398+AX398</f>
        <v>0</v>
      </c>
      <c r="BD398" s="31">
        <f>H398/(100-BE398)*100</f>
        <v>0</v>
      </c>
      <c r="BE398" s="31">
        <v>0</v>
      </c>
      <c r="BF398" s="31">
        <f>O398</f>
        <v>7.8000000000000005E-3</v>
      </c>
      <c r="BH398" s="31">
        <f>G398*AO398</f>
        <v>0</v>
      </c>
      <c r="BI398" s="31">
        <f>G398*AP398</f>
        <v>0</v>
      </c>
      <c r="BJ398" s="31">
        <f>G398*H398</f>
        <v>0</v>
      </c>
      <c r="BK398" s="31"/>
      <c r="BL398" s="31">
        <v>764</v>
      </c>
      <c r="BW398" s="31" t="str">
        <f>I398</f>
        <v>21</v>
      </c>
      <c r="BX398" s="4" t="s">
        <v>839</v>
      </c>
    </row>
    <row r="399" spans="1:76" ht="14.35" x14ac:dyDescent="0.5">
      <c r="A399" s="34"/>
      <c r="D399" s="35" t="s">
        <v>768</v>
      </c>
      <c r="E399" s="35" t="s">
        <v>840</v>
      </c>
      <c r="G399" s="36">
        <v>130</v>
      </c>
      <c r="P399" s="37"/>
    </row>
    <row r="400" spans="1:76" ht="14.35" x14ac:dyDescent="0.5">
      <c r="A400" s="2" t="s">
        <v>841</v>
      </c>
      <c r="B400" s="3" t="s">
        <v>49</v>
      </c>
      <c r="C400" s="3" t="s">
        <v>842</v>
      </c>
      <c r="D400" s="72" t="s">
        <v>843</v>
      </c>
      <c r="E400" s="73"/>
      <c r="F400" s="3" t="s">
        <v>179</v>
      </c>
      <c r="G400" s="31">
        <v>7</v>
      </c>
      <c r="H400" s="71"/>
      <c r="I400" s="32" t="s">
        <v>56</v>
      </c>
      <c r="J400" s="31">
        <f>G400*AO400</f>
        <v>0</v>
      </c>
      <c r="K400" s="31">
        <f>G400*AP400</f>
        <v>0</v>
      </c>
      <c r="L400" s="31">
        <f>G400*H400</f>
        <v>0</v>
      </c>
      <c r="M400" s="31">
        <f>L400*(1+BW400/100)</f>
        <v>0</v>
      </c>
      <c r="N400" s="31">
        <v>4.0000000000000003E-5</v>
      </c>
      <c r="O400" s="31">
        <f>G400*N400</f>
        <v>2.8000000000000003E-4</v>
      </c>
      <c r="P400" s="33" t="s">
        <v>57</v>
      </c>
      <c r="Z400" s="31">
        <f>IF(AQ400="5",BJ400,0)</f>
        <v>0</v>
      </c>
      <c r="AB400" s="31">
        <f>IF(AQ400="1",BH400,0)</f>
        <v>0</v>
      </c>
      <c r="AC400" s="31">
        <f>IF(AQ400="1",BI400,0)</f>
        <v>0</v>
      </c>
      <c r="AD400" s="31">
        <f>IF(AQ400="7",BH400,0)</f>
        <v>0</v>
      </c>
      <c r="AE400" s="31">
        <f>IF(AQ400="7",BI400,0)</f>
        <v>0</v>
      </c>
      <c r="AF400" s="31">
        <f>IF(AQ400="2",BH400,0)</f>
        <v>0</v>
      </c>
      <c r="AG400" s="31">
        <f>IF(AQ400="2",BI400,0)</f>
        <v>0</v>
      </c>
      <c r="AH400" s="31">
        <f>IF(AQ400="0",BJ400,0)</f>
        <v>0</v>
      </c>
      <c r="AI400" s="12" t="s">
        <v>49</v>
      </c>
      <c r="AJ400" s="31">
        <f>IF(AN400=0,L400,0)</f>
        <v>0</v>
      </c>
      <c r="AK400" s="31">
        <f>IF(AN400=12,L400,0)</f>
        <v>0</v>
      </c>
      <c r="AL400" s="31">
        <f>IF(AN400=21,L400,0)</f>
        <v>0</v>
      </c>
      <c r="AN400" s="31">
        <v>21</v>
      </c>
      <c r="AO400" s="31">
        <f>H400*0.188657718</f>
        <v>0</v>
      </c>
      <c r="AP400" s="31">
        <f>H400*(1-0.188657718)</f>
        <v>0</v>
      </c>
      <c r="AQ400" s="32" t="s">
        <v>91</v>
      </c>
      <c r="AV400" s="31">
        <f>AW400+AX400</f>
        <v>0</v>
      </c>
      <c r="AW400" s="31">
        <f>G400*AO400</f>
        <v>0</v>
      </c>
      <c r="AX400" s="31">
        <f>G400*AP400</f>
        <v>0</v>
      </c>
      <c r="AY400" s="32" t="s">
        <v>818</v>
      </c>
      <c r="AZ400" s="32" t="s">
        <v>461</v>
      </c>
      <c r="BA400" s="12" t="s">
        <v>60</v>
      </c>
      <c r="BC400" s="31">
        <f>AW400+AX400</f>
        <v>0</v>
      </c>
      <c r="BD400" s="31">
        <f>H400/(100-BE400)*100</f>
        <v>0</v>
      </c>
      <c r="BE400" s="31">
        <v>0</v>
      </c>
      <c r="BF400" s="31">
        <f>O400</f>
        <v>2.8000000000000003E-4</v>
      </c>
      <c r="BH400" s="31">
        <f>G400*AO400</f>
        <v>0</v>
      </c>
      <c r="BI400" s="31">
        <f>G400*AP400</f>
        <v>0</v>
      </c>
      <c r="BJ400" s="31">
        <f>G400*H400</f>
        <v>0</v>
      </c>
      <c r="BK400" s="31"/>
      <c r="BL400" s="31">
        <v>764</v>
      </c>
      <c r="BW400" s="31" t="str">
        <f>I400</f>
        <v>21</v>
      </c>
      <c r="BX400" s="4" t="s">
        <v>843</v>
      </c>
    </row>
    <row r="401" spans="1:76" ht="14.35" x14ac:dyDescent="0.5">
      <c r="A401" s="2" t="s">
        <v>844</v>
      </c>
      <c r="B401" s="3" t="s">
        <v>49</v>
      </c>
      <c r="C401" s="3" t="s">
        <v>845</v>
      </c>
      <c r="D401" s="72" t="s">
        <v>846</v>
      </c>
      <c r="E401" s="73"/>
      <c r="F401" s="3" t="s">
        <v>179</v>
      </c>
      <c r="G401" s="31">
        <v>6</v>
      </c>
      <c r="H401" s="71"/>
      <c r="I401" s="32" t="s">
        <v>56</v>
      </c>
      <c r="J401" s="31">
        <f>G401*AO401</f>
        <v>0</v>
      </c>
      <c r="K401" s="31">
        <f>G401*AP401</f>
        <v>0</v>
      </c>
      <c r="L401" s="31">
        <f>G401*H401</f>
        <v>0</v>
      </c>
      <c r="M401" s="31">
        <f>L401*(1+BW401/100)</f>
        <v>0</v>
      </c>
      <c r="N401" s="31">
        <v>2.0000000000000002E-5</v>
      </c>
      <c r="O401" s="31">
        <f>G401*N401</f>
        <v>1.2000000000000002E-4</v>
      </c>
      <c r="P401" s="33" t="s">
        <v>57</v>
      </c>
      <c r="Z401" s="31">
        <f>IF(AQ401="5",BJ401,0)</f>
        <v>0</v>
      </c>
      <c r="AB401" s="31">
        <f>IF(AQ401="1",BH401,0)</f>
        <v>0</v>
      </c>
      <c r="AC401" s="31">
        <f>IF(AQ401="1",BI401,0)</f>
        <v>0</v>
      </c>
      <c r="AD401" s="31">
        <f>IF(AQ401="7",BH401,0)</f>
        <v>0</v>
      </c>
      <c r="AE401" s="31">
        <f>IF(AQ401="7",BI401,0)</f>
        <v>0</v>
      </c>
      <c r="AF401" s="31">
        <f>IF(AQ401="2",BH401,0)</f>
        <v>0</v>
      </c>
      <c r="AG401" s="31">
        <f>IF(AQ401="2",BI401,0)</f>
        <v>0</v>
      </c>
      <c r="AH401" s="31">
        <f>IF(AQ401="0",BJ401,0)</f>
        <v>0</v>
      </c>
      <c r="AI401" s="12" t="s">
        <v>49</v>
      </c>
      <c r="AJ401" s="31">
        <f>IF(AN401=0,L401,0)</f>
        <v>0</v>
      </c>
      <c r="AK401" s="31">
        <f>IF(AN401=12,L401,0)</f>
        <v>0</v>
      </c>
      <c r="AL401" s="31">
        <f>IF(AN401=21,L401,0)</f>
        <v>0</v>
      </c>
      <c r="AN401" s="31">
        <v>21</v>
      </c>
      <c r="AO401" s="31">
        <f>H401*0.217475027</f>
        <v>0</v>
      </c>
      <c r="AP401" s="31">
        <f>H401*(1-0.217475027)</f>
        <v>0</v>
      </c>
      <c r="AQ401" s="32" t="s">
        <v>91</v>
      </c>
      <c r="AV401" s="31">
        <f>AW401+AX401</f>
        <v>0</v>
      </c>
      <c r="AW401" s="31">
        <f>G401*AO401</f>
        <v>0</v>
      </c>
      <c r="AX401" s="31">
        <f>G401*AP401</f>
        <v>0</v>
      </c>
      <c r="AY401" s="32" t="s">
        <v>818</v>
      </c>
      <c r="AZ401" s="32" t="s">
        <v>461</v>
      </c>
      <c r="BA401" s="12" t="s">
        <v>60</v>
      </c>
      <c r="BC401" s="31">
        <f>AW401+AX401</f>
        <v>0</v>
      </c>
      <c r="BD401" s="31">
        <f>H401/(100-BE401)*100</f>
        <v>0</v>
      </c>
      <c r="BE401" s="31">
        <v>0</v>
      </c>
      <c r="BF401" s="31">
        <f>O401</f>
        <v>1.2000000000000002E-4</v>
      </c>
      <c r="BH401" s="31">
        <f>G401*AO401</f>
        <v>0</v>
      </c>
      <c r="BI401" s="31">
        <f>G401*AP401</f>
        <v>0</v>
      </c>
      <c r="BJ401" s="31">
        <f>G401*H401</f>
        <v>0</v>
      </c>
      <c r="BK401" s="31"/>
      <c r="BL401" s="31">
        <v>764</v>
      </c>
      <c r="BW401" s="31" t="str">
        <f>I401</f>
        <v>21</v>
      </c>
      <c r="BX401" s="4" t="s">
        <v>846</v>
      </c>
    </row>
    <row r="402" spans="1:76" ht="14.35" x14ac:dyDescent="0.5">
      <c r="A402" s="2" t="s">
        <v>847</v>
      </c>
      <c r="B402" s="3" t="s">
        <v>49</v>
      </c>
      <c r="C402" s="3" t="s">
        <v>848</v>
      </c>
      <c r="D402" s="72" t="s">
        <v>849</v>
      </c>
      <c r="E402" s="73"/>
      <c r="F402" s="3" t="s">
        <v>179</v>
      </c>
      <c r="G402" s="31">
        <v>6</v>
      </c>
      <c r="H402" s="71"/>
      <c r="I402" s="32" t="s">
        <v>56</v>
      </c>
      <c r="J402" s="31">
        <f>G402*AO402</f>
        <v>0</v>
      </c>
      <c r="K402" s="31">
        <f>G402*AP402</f>
        <v>0</v>
      </c>
      <c r="L402" s="31">
        <f>G402*H402</f>
        <v>0</v>
      </c>
      <c r="M402" s="31">
        <f>L402*(1+BW402/100)</f>
        <v>0</v>
      </c>
      <c r="N402" s="31">
        <v>2.009E-2</v>
      </c>
      <c r="O402" s="31">
        <f>G402*N402</f>
        <v>0.12054000000000001</v>
      </c>
      <c r="P402" s="33" t="s">
        <v>57</v>
      </c>
      <c r="Z402" s="31">
        <f>IF(AQ402="5",BJ402,0)</f>
        <v>0</v>
      </c>
      <c r="AB402" s="31">
        <f>IF(AQ402="1",BH402,0)</f>
        <v>0</v>
      </c>
      <c r="AC402" s="31">
        <f>IF(AQ402="1",BI402,0)</f>
        <v>0</v>
      </c>
      <c r="AD402" s="31">
        <f>IF(AQ402="7",BH402,0)</f>
        <v>0</v>
      </c>
      <c r="AE402" s="31">
        <f>IF(AQ402="7",BI402,0)</f>
        <v>0</v>
      </c>
      <c r="AF402" s="31">
        <f>IF(AQ402="2",BH402,0)</f>
        <v>0</v>
      </c>
      <c r="AG402" s="31">
        <f>IF(AQ402="2",BI402,0)</f>
        <v>0</v>
      </c>
      <c r="AH402" s="31">
        <f>IF(AQ402="0",BJ402,0)</f>
        <v>0</v>
      </c>
      <c r="AI402" s="12" t="s">
        <v>49</v>
      </c>
      <c r="AJ402" s="31">
        <f>IF(AN402=0,L402,0)</f>
        <v>0</v>
      </c>
      <c r="AK402" s="31">
        <f>IF(AN402=12,L402,0)</f>
        <v>0</v>
      </c>
      <c r="AL402" s="31">
        <f>IF(AN402=21,L402,0)</f>
        <v>0</v>
      </c>
      <c r="AN402" s="31">
        <v>21</v>
      </c>
      <c r="AO402" s="31">
        <f>H402*0.759996629</f>
        <v>0</v>
      </c>
      <c r="AP402" s="31">
        <f>H402*(1-0.759996629)</f>
        <v>0</v>
      </c>
      <c r="AQ402" s="32" t="s">
        <v>91</v>
      </c>
      <c r="AV402" s="31">
        <f>AW402+AX402</f>
        <v>0</v>
      </c>
      <c r="AW402" s="31">
        <f>G402*AO402</f>
        <v>0</v>
      </c>
      <c r="AX402" s="31">
        <f>G402*AP402</f>
        <v>0</v>
      </c>
      <c r="AY402" s="32" t="s">
        <v>818</v>
      </c>
      <c r="AZ402" s="32" t="s">
        <v>461</v>
      </c>
      <c r="BA402" s="12" t="s">
        <v>60</v>
      </c>
      <c r="BC402" s="31">
        <f>AW402+AX402</f>
        <v>0</v>
      </c>
      <c r="BD402" s="31">
        <f>H402/(100-BE402)*100</f>
        <v>0</v>
      </c>
      <c r="BE402" s="31">
        <v>0</v>
      </c>
      <c r="BF402" s="31">
        <f>O402</f>
        <v>0.12054000000000001</v>
      </c>
      <c r="BH402" s="31">
        <f>G402*AO402</f>
        <v>0</v>
      </c>
      <c r="BI402" s="31">
        <f>G402*AP402</f>
        <v>0</v>
      </c>
      <c r="BJ402" s="31">
        <f>G402*H402</f>
        <v>0</v>
      </c>
      <c r="BK402" s="31"/>
      <c r="BL402" s="31">
        <v>764</v>
      </c>
      <c r="BW402" s="31" t="str">
        <f>I402</f>
        <v>21</v>
      </c>
      <c r="BX402" s="4" t="s">
        <v>849</v>
      </c>
    </row>
    <row r="403" spans="1:76" ht="14.35" x14ac:dyDescent="0.5">
      <c r="A403" s="2" t="s">
        <v>850</v>
      </c>
      <c r="B403" s="3" t="s">
        <v>49</v>
      </c>
      <c r="C403" s="3" t="s">
        <v>851</v>
      </c>
      <c r="D403" s="72" t="s">
        <v>852</v>
      </c>
      <c r="E403" s="73"/>
      <c r="F403" s="3" t="s">
        <v>150</v>
      </c>
      <c r="G403" s="31">
        <v>8.25</v>
      </c>
      <c r="H403" s="71"/>
      <c r="I403" s="32" t="s">
        <v>56</v>
      </c>
      <c r="J403" s="31">
        <f>G403*AO403</f>
        <v>0</v>
      </c>
      <c r="K403" s="31">
        <f>G403*AP403</f>
        <v>0</v>
      </c>
      <c r="L403" s="31">
        <f>G403*H403</f>
        <v>0</v>
      </c>
      <c r="M403" s="31">
        <f>L403*(1+BW403/100)</f>
        <v>0</v>
      </c>
      <c r="N403" s="31">
        <v>4.2399999999999998E-3</v>
      </c>
      <c r="O403" s="31">
        <f>G403*N403</f>
        <v>3.4979999999999997E-2</v>
      </c>
      <c r="P403" s="33" t="s">
        <v>57</v>
      </c>
      <c r="Z403" s="31">
        <f>IF(AQ403="5",BJ403,0)</f>
        <v>0</v>
      </c>
      <c r="AB403" s="31">
        <f>IF(AQ403="1",BH403,0)</f>
        <v>0</v>
      </c>
      <c r="AC403" s="31">
        <f>IF(AQ403="1",BI403,0)</f>
        <v>0</v>
      </c>
      <c r="AD403" s="31">
        <f>IF(AQ403="7",BH403,0)</f>
        <v>0</v>
      </c>
      <c r="AE403" s="31">
        <f>IF(AQ403="7",BI403,0)</f>
        <v>0</v>
      </c>
      <c r="AF403" s="31">
        <f>IF(AQ403="2",BH403,0)</f>
        <v>0</v>
      </c>
      <c r="AG403" s="31">
        <f>IF(AQ403="2",BI403,0)</f>
        <v>0</v>
      </c>
      <c r="AH403" s="31">
        <f>IF(AQ403="0",BJ403,0)</f>
        <v>0</v>
      </c>
      <c r="AI403" s="12" t="s">
        <v>49</v>
      </c>
      <c r="AJ403" s="31">
        <f>IF(AN403=0,L403,0)</f>
        <v>0</v>
      </c>
      <c r="AK403" s="31">
        <f>IF(AN403=12,L403,0)</f>
        <v>0</v>
      </c>
      <c r="AL403" s="31">
        <f>IF(AN403=21,L403,0)</f>
        <v>0</v>
      </c>
      <c r="AN403" s="31">
        <v>21</v>
      </c>
      <c r="AO403" s="31">
        <f>H403*0.903059316</f>
        <v>0</v>
      </c>
      <c r="AP403" s="31">
        <f>H403*(1-0.903059316)</f>
        <v>0</v>
      </c>
      <c r="AQ403" s="32" t="s">
        <v>91</v>
      </c>
      <c r="AV403" s="31">
        <f>AW403+AX403</f>
        <v>0</v>
      </c>
      <c r="AW403" s="31">
        <f>G403*AO403</f>
        <v>0</v>
      </c>
      <c r="AX403" s="31">
        <f>G403*AP403</f>
        <v>0</v>
      </c>
      <c r="AY403" s="32" t="s">
        <v>818</v>
      </c>
      <c r="AZ403" s="32" t="s">
        <v>461</v>
      </c>
      <c r="BA403" s="12" t="s">
        <v>60</v>
      </c>
      <c r="BC403" s="31">
        <f>AW403+AX403</f>
        <v>0</v>
      </c>
      <c r="BD403" s="31">
        <f>H403/(100-BE403)*100</f>
        <v>0</v>
      </c>
      <c r="BE403" s="31">
        <v>0</v>
      </c>
      <c r="BF403" s="31">
        <f>O403</f>
        <v>3.4979999999999997E-2</v>
      </c>
      <c r="BH403" s="31">
        <f>G403*AO403</f>
        <v>0</v>
      </c>
      <c r="BI403" s="31">
        <f>G403*AP403</f>
        <v>0</v>
      </c>
      <c r="BJ403" s="31">
        <f>G403*H403</f>
        <v>0</v>
      </c>
      <c r="BK403" s="31"/>
      <c r="BL403" s="31">
        <v>764</v>
      </c>
      <c r="BW403" s="31" t="str">
        <f>I403</f>
        <v>21</v>
      </c>
      <c r="BX403" s="4" t="s">
        <v>852</v>
      </c>
    </row>
    <row r="404" spans="1:76" ht="14.35" x14ac:dyDescent="0.5">
      <c r="A404" s="2" t="s">
        <v>853</v>
      </c>
      <c r="B404" s="3" t="s">
        <v>49</v>
      </c>
      <c r="C404" s="3" t="s">
        <v>854</v>
      </c>
      <c r="D404" s="72" t="s">
        <v>855</v>
      </c>
      <c r="E404" s="73"/>
      <c r="F404" s="3" t="s">
        <v>150</v>
      </c>
      <c r="G404" s="31">
        <v>16.2</v>
      </c>
      <c r="H404" s="71"/>
      <c r="I404" s="32" t="s">
        <v>56</v>
      </c>
      <c r="J404" s="31">
        <f>G404*AO404</f>
        <v>0</v>
      </c>
      <c r="K404" s="31">
        <f>G404*AP404</f>
        <v>0</v>
      </c>
      <c r="L404" s="31">
        <f>G404*H404</f>
        <v>0</v>
      </c>
      <c r="M404" s="31">
        <f>L404*(1+BW404/100)</f>
        <v>0</v>
      </c>
      <c r="N404" s="31">
        <v>6.3400000000000001E-3</v>
      </c>
      <c r="O404" s="31">
        <f>G404*N404</f>
        <v>0.10270799999999999</v>
      </c>
      <c r="P404" s="33" t="s">
        <v>57</v>
      </c>
      <c r="Z404" s="31">
        <f>IF(AQ404="5",BJ404,0)</f>
        <v>0</v>
      </c>
      <c r="AB404" s="31">
        <f>IF(AQ404="1",BH404,0)</f>
        <v>0</v>
      </c>
      <c r="AC404" s="31">
        <f>IF(AQ404="1",BI404,0)</f>
        <v>0</v>
      </c>
      <c r="AD404" s="31">
        <f>IF(AQ404="7",BH404,0)</f>
        <v>0</v>
      </c>
      <c r="AE404" s="31">
        <f>IF(AQ404="7",BI404,0)</f>
        <v>0</v>
      </c>
      <c r="AF404" s="31">
        <f>IF(AQ404="2",BH404,0)</f>
        <v>0</v>
      </c>
      <c r="AG404" s="31">
        <f>IF(AQ404="2",BI404,0)</f>
        <v>0</v>
      </c>
      <c r="AH404" s="31">
        <f>IF(AQ404="0",BJ404,0)</f>
        <v>0</v>
      </c>
      <c r="AI404" s="12" t="s">
        <v>49</v>
      </c>
      <c r="AJ404" s="31">
        <f>IF(AN404=0,L404,0)</f>
        <v>0</v>
      </c>
      <c r="AK404" s="31">
        <f>IF(AN404=12,L404,0)</f>
        <v>0</v>
      </c>
      <c r="AL404" s="31">
        <f>IF(AN404=21,L404,0)</f>
        <v>0</v>
      </c>
      <c r="AN404" s="31">
        <v>21</v>
      </c>
      <c r="AO404" s="31">
        <f>H404*0.913409836</f>
        <v>0</v>
      </c>
      <c r="AP404" s="31">
        <f>H404*(1-0.913409836)</f>
        <v>0</v>
      </c>
      <c r="AQ404" s="32" t="s">
        <v>91</v>
      </c>
      <c r="AV404" s="31">
        <f>AW404+AX404</f>
        <v>0</v>
      </c>
      <c r="AW404" s="31">
        <f>G404*AO404</f>
        <v>0</v>
      </c>
      <c r="AX404" s="31">
        <f>G404*AP404</f>
        <v>0</v>
      </c>
      <c r="AY404" s="32" t="s">
        <v>818</v>
      </c>
      <c r="AZ404" s="32" t="s">
        <v>461</v>
      </c>
      <c r="BA404" s="12" t="s">
        <v>60</v>
      </c>
      <c r="BC404" s="31">
        <f>AW404+AX404</f>
        <v>0</v>
      </c>
      <c r="BD404" s="31">
        <f>H404/(100-BE404)*100</f>
        <v>0</v>
      </c>
      <c r="BE404" s="31">
        <v>0</v>
      </c>
      <c r="BF404" s="31">
        <f>O404</f>
        <v>0.10270799999999999</v>
      </c>
      <c r="BH404" s="31">
        <f>G404*AO404</f>
        <v>0</v>
      </c>
      <c r="BI404" s="31">
        <f>G404*AP404</f>
        <v>0</v>
      </c>
      <c r="BJ404" s="31">
        <f>G404*H404</f>
        <v>0</v>
      </c>
      <c r="BK404" s="31"/>
      <c r="BL404" s="31">
        <v>764</v>
      </c>
      <c r="BW404" s="31" t="str">
        <f>I404</f>
        <v>21</v>
      </c>
      <c r="BX404" s="4" t="s">
        <v>855</v>
      </c>
    </row>
    <row r="405" spans="1:76" ht="14.35" x14ac:dyDescent="0.5">
      <c r="A405" s="34"/>
      <c r="D405" s="35" t="s">
        <v>856</v>
      </c>
      <c r="E405" s="35" t="s">
        <v>49</v>
      </c>
      <c r="G405" s="36">
        <v>16.2</v>
      </c>
      <c r="P405" s="37"/>
    </row>
    <row r="406" spans="1:76" ht="14.35" x14ac:dyDescent="0.5">
      <c r="A406" s="2" t="s">
        <v>857</v>
      </c>
      <c r="B406" s="3" t="s">
        <v>49</v>
      </c>
      <c r="C406" s="3" t="s">
        <v>858</v>
      </c>
      <c r="D406" s="72" t="s">
        <v>859</v>
      </c>
      <c r="E406" s="73"/>
      <c r="F406" s="3" t="s">
        <v>150</v>
      </c>
      <c r="G406" s="31">
        <v>15.5</v>
      </c>
      <c r="H406" s="71"/>
      <c r="I406" s="32" t="s">
        <v>56</v>
      </c>
      <c r="J406" s="31">
        <f>G406*AO406</f>
        <v>0</v>
      </c>
      <c r="K406" s="31">
        <f>G406*AP406</f>
        <v>0</v>
      </c>
      <c r="L406" s="31">
        <f>G406*H406</f>
        <v>0</v>
      </c>
      <c r="M406" s="31">
        <f>L406*(1+BW406/100)</f>
        <v>0</v>
      </c>
      <c r="N406" s="31">
        <v>2.0500000000000002E-3</v>
      </c>
      <c r="O406" s="31">
        <f>G406*N406</f>
        <v>3.1775000000000005E-2</v>
      </c>
      <c r="P406" s="33" t="s">
        <v>57</v>
      </c>
      <c r="Z406" s="31">
        <f>IF(AQ406="5",BJ406,0)</f>
        <v>0</v>
      </c>
      <c r="AB406" s="31">
        <f>IF(AQ406="1",BH406,0)</f>
        <v>0</v>
      </c>
      <c r="AC406" s="31">
        <f>IF(AQ406="1",BI406,0)</f>
        <v>0</v>
      </c>
      <c r="AD406" s="31">
        <f>IF(AQ406="7",BH406,0)</f>
        <v>0</v>
      </c>
      <c r="AE406" s="31">
        <f>IF(AQ406="7",BI406,0)</f>
        <v>0</v>
      </c>
      <c r="AF406" s="31">
        <f>IF(AQ406="2",BH406,0)</f>
        <v>0</v>
      </c>
      <c r="AG406" s="31">
        <f>IF(AQ406="2",BI406,0)</f>
        <v>0</v>
      </c>
      <c r="AH406" s="31">
        <f>IF(AQ406="0",BJ406,0)</f>
        <v>0</v>
      </c>
      <c r="AI406" s="12" t="s">
        <v>49</v>
      </c>
      <c r="AJ406" s="31">
        <f>IF(AN406=0,L406,0)</f>
        <v>0</v>
      </c>
      <c r="AK406" s="31">
        <f>IF(AN406=12,L406,0)</f>
        <v>0</v>
      </c>
      <c r="AL406" s="31">
        <f>IF(AN406=21,L406,0)</f>
        <v>0</v>
      </c>
      <c r="AN406" s="31">
        <v>21</v>
      </c>
      <c r="AO406" s="31">
        <f>H406*0</f>
        <v>0</v>
      </c>
      <c r="AP406" s="31">
        <f>H406*(1-0)</f>
        <v>0</v>
      </c>
      <c r="AQ406" s="32" t="s">
        <v>91</v>
      </c>
      <c r="AV406" s="31">
        <f>AW406+AX406</f>
        <v>0</v>
      </c>
      <c r="AW406" s="31">
        <f>G406*AO406</f>
        <v>0</v>
      </c>
      <c r="AX406" s="31">
        <f>G406*AP406</f>
        <v>0</v>
      </c>
      <c r="AY406" s="32" t="s">
        <v>818</v>
      </c>
      <c r="AZ406" s="32" t="s">
        <v>461</v>
      </c>
      <c r="BA406" s="12" t="s">
        <v>60</v>
      </c>
      <c r="BC406" s="31">
        <f>AW406+AX406</f>
        <v>0</v>
      </c>
      <c r="BD406" s="31">
        <f>H406/(100-BE406)*100</f>
        <v>0</v>
      </c>
      <c r="BE406" s="31">
        <v>0</v>
      </c>
      <c r="BF406" s="31">
        <f>O406</f>
        <v>3.1775000000000005E-2</v>
      </c>
      <c r="BH406" s="31">
        <f>G406*AO406</f>
        <v>0</v>
      </c>
      <c r="BI406" s="31">
        <f>G406*AP406</f>
        <v>0</v>
      </c>
      <c r="BJ406" s="31">
        <f>G406*H406</f>
        <v>0</v>
      </c>
      <c r="BK406" s="31"/>
      <c r="BL406" s="31">
        <v>764</v>
      </c>
      <c r="BW406" s="31" t="str">
        <f>I406</f>
        <v>21</v>
      </c>
      <c r="BX406" s="4" t="s">
        <v>859</v>
      </c>
    </row>
    <row r="407" spans="1:76" ht="14.35" x14ac:dyDescent="0.5">
      <c r="A407" s="2" t="s">
        <v>860</v>
      </c>
      <c r="B407" s="3" t="s">
        <v>49</v>
      </c>
      <c r="C407" s="3" t="s">
        <v>861</v>
      </c>
      <c r="D407" s="72" t="s">
        <v>862</v>
      </c>
      <c r="E407" s="73"/>
      <c r="F407" s="3" t="s">
        <v>150</v>
      </c>
      <c r="G407" s="31">
        <v>116.11</v>
      </c>
      <c r="H407" s="71"/>
      <c r="I407" s="32" t="s">
        <v>56</v>
      </c>
      <c r="J407" s="31">
        <f>G407*AO407</f>
        <v>0</v>
      </c>
      <c r="K407" s="31">
        <f>G407*AP407</f>
        <v>0</v>
      </c>
      <c r="L407" s="31">
        <f>G407*H407</f>
        <v>0</v>
      </c>
      <c r="M407" s="31">
        <f>L407*(1+BW407/100)</f>
        <v>0</v>
      </c>
      <c r="N407" s="31">
        <v>3.3600000000000001E-3</v>
      </c>
      <c r="O407" s="31">
        <f>G407*N407</f>
        <v>0.39012960000000002</v>
      </c>
      <c r="P407" s="33" t="s">
        <v>57</v>
      </c>
      <c r="Z407" s="31">
        <f>IF(AQ407="5",BJ407,0)</f>
        <v>0</v>
      </c>
      <c r="AB407" s="31">
        <f>IF(AQ407="1",BH407,0)</f>
        <v>0</v>
      </c>
      <c r="AC407" s="31">
        <f>IF(AQ407="1",BI407,0)</f>
        <v>0</v>
      </c>
      <c r="AD407" s="31">
        <f>IF(AQ407="7",BH407,0)</f>
        <v>0</v>
      </c>
      <c r="AE407" s="31">
        <f>IF(AQ407="7",BI407,0)</f>
        <v>0</v>
      </c>
      <c r="AF407" s="31">
        <f>IF(AQ407="2",BH407,0)</f>
        <v>0</v>
      </c>
      <c r="AG407" s="31">
        <f>IF(AQ407="2",BI407,0)</f>
        <v>0</v>
      </c>
      <c r="AH407" s="31">
        <f>IF(AQ407="0",BJ407,0)</f>
        <v>0</v>
      </c>
      <c r="AI407" s="12" t="s">
        <v>49</v>
      </c>
      <c r="AJ407" s="31">
        <f>IF(AN407=0,L407,0)</f>
        <v>0</v>
      </c>
      <c r="AK407" s="31">
        <f>IF(AN407=12,L407,0)</f>
        <v>0</v>
      </c>
      <c r="AL407" s="31">
        <f>IF(AN407=21,L407,0)</f>
        <v>0</v>
      </c>
      <c r="AN407" s="31">
        <v>21</v>
      </c>
      <c r="AO407" s="31">
        <f>H407*0</f>
        <v>0</v>
      </c>
      <c r="AP407" s="31">
        <f>H407*(1-0)</f>
        <v>0</v>
      </c>
      <c r="AQ407" s="32" t="s">
        <v>91</v>
      </c>
      <c r="AV407" s="31">
        <f>AW407+AX407</f>
        <v>0</v>
      </c>
      <c r="AW407" s="31">
        <f>G407*AO407</f>
        <v>0</v>
      </c>
      <c r="AX407" s="31">
        <f>G407*AP407</f>
        <v>0</v>
      </c>
      <c r="AY407" s="32" t="s">
        <v>818</v>
      </c>
      <c r="AZ407" s="32" t="s">
        <v>461</v>
      </c>
      <c r="BA407" s="12" t="s">
        <v>60</v>
      </c>
      <c r="BC407" s="31">
        <f>AW407+AX407</f>
        <v>0</v>
      </c>
      <c r="BD407" s="31">
        <f>H407/(100-BE407)*100</f>
        <v>0</v>
      </c>
      <c r="BE407" s="31">
        <v>0</v>
      </c>
      <c r="BF407" s="31">
        <f>O407</f>
        <v>0.39012960000000002</v>
      </c>
      <c r="BH407" s="31">
        <f>G407*AO407</f>
        <v>0</v>
      </c>
      <c r="BI407" s="31">
        <f>G407*AP407</f>
        <v>0</v>
      </c>
      <c r="BJ407" s="31">
        <f>G407*H407</f>
        <v>0</v>
      </c>
      <c r="BK407" s="31"/>
      <c r="BL407" s="31">
        <v>764</v>
      </c>
      <c r="BW407" s="31" t="str">
        <f>I407</f>
        <v>21</v>
      </c>
      <c r="BX407" s="4" t="s">
        <v>862</v>
      </c>
    </row>
    <row r="408" spans="1:76" ht="14.35" x14ac:dyDescent="0.5">
      <c r="A408" s="2" t="s">
        <v>863</v>
      </c>
      <c r="B408" s="3" t="s">
        <v>49</v>
      </c>
      <c r="C408" s="3" t="s">
        <v>864</v>
      </c>
      <c r="D408" s="72" t="s">
        <v>865</v>
      </c>
      <c r="E408" s="73"/>
      <c r="F408" s="3" t="s">
        <v>179</v>
      </c>
      <c r="G408" s="31">
        <v>6</v>
      </c>
      <c r="H408" s="71"/>
      <c r="I408" s="32" t="s">
        <v>56</v>
      </c>
      <c r="J408" s="31">
        <f>G408*AO408</f>
        <v>0</v>
      </c>
      <c r="K408" s="31">
        <f>G408*AP408</f>
        <v>0</v>
      </c>
      <c r="L408" s="31">
        <f>G408*H408</f>
        <v>0</v>
      </c>
      <c r="M408" s="31">
        <f>L408*(1+BW408/100)</f>
        <v>0</v>
      </c>
      <c r="N408" s="31">
        <v>2.0080000000000001E-2</v>
      </c>
      <c r="O408" s="31">
        <f>G408*N408</f>
        <v>0.12048</v>
      </c>
      <c r="P408" s="33" t="s">
        <v>57</v>
      </c>
      <c r="Z408" s="31">
        <f>IF(AQ408="5",BJ408,0)</f>
        <v>0</v>
      </c>
      <c r="AB408" s="31">
        <f>IF(AQ408="1",BH408,0)</f>
        <v>0</v>
      </c>
      <c r="AC408" s="31">
        <f>IF(AQ408="1",BI408,0)</f>
        <v>0</v>
      </c>
      <c r="AD408" s="31">
        <f>IF(AQ408="7",BH408,0)</f>
        <v>0</v>
      </c>
      <c r="AE408" s="31">
        <f>IF(AQ408="7",BI408,0)</f>
        <v>0</v>
      </c>
      <c r="AF408" s="31">
        <f>IF(AQ408="2",BH408,0)</f>
        <v>0</v>
      </c>
      <c r="AG408" s="31">
        <f>IF(AQ408="2",BI408,0)</f>
        <v>0</v>
      </c>
      <c r="AH408" s="31">
        <f>IF(AQ408="0",BJ408,0)</f>
        <v>0</v>
      </c>
      <c r="AI408" s="12" t="s">
        <v>49</v>
      </c>
      <c r="AJ408" s="31">
        <f>IF(AN408=0,L408,0)</f>
        <v>0</v>
      </c>
      <c r="AK408" s="31">
        <f>IF(AN408=12,L408,0)</f>
        <v>0</v>
      </c>
      <c r="AL408" s="31">
        <f>IF(AN408=21,L408,0)</f>
        <v>0</v>
      </c>
      <c r="AN408" s="31">
        <v>21</v>
      </c>
      <c r="AO408" s="31">
        <f>H408*0</f>
        <v>0</v>
      </c>
      <c r="AP408" s="31">
        <f>H408*(1-0)</f>
        <v>0</v>
      </c>
      <c r="AQ408" s="32" t="s">
        <v>91</v>
      </c>
      <c r="AV408" s="31">
        <f>AW408+AX408</f>
        <v>0</v>
      </c>
      <c r="AW408" s="31">
        <f>G408*AO408</f>
        <v>0</v>
      </c>
      <c r="AX408" s="31">
        <f>G408*AP408</f>
        <v>0</v>
      </c>
      <c r="AY408" s="32" t="s">
        <v>818</v>
      </c>
      <c r="AZ408" s="32" t="s">
        <v>461</v>
      </c>
      <c r="BA408" s="12" t="s">
        <v>60</v>
      </c>
      <c r="BC408" s="31">
        <f>AW408+AX408</f>
        <v>0</v>
      </c>
      <c r="BD408" s="31">
        <f>H408/(100-BE408)*100</f>
        <v>0</v>
      </c>
      <c r="BE408" s="31">
        <v>0</v>
      </c>
      <c r="BF408" s="31">
        <f>O408</f>
        <v>0.12048</v>
      </c>
      <c r="BH408" s="31">
        <f>G408*AO408</f>
        <v>0</v>
      </c>
      <c r="BI408" s="31">
        <f>G408*AP408</f>
        <v>0</v>
      </c>
      <c r="BJ408" s="31">
        <f>G408*H408</f>
        <v>0</v>
      </c>
      <c r="BK408" s="31"/>
      <c r="BL408" s="31">
        <v>764</v>
      </c>
      <c r="BW408" s="31" t="str">
        <f>I408</f>
        <v>21</v>
      </c>
      <c r="BX408" s="4" t="s">
        <v>865</v>
      </c>
    </row>
    <row r="409" spans="1:76" ht="14.35" x14ac:dyDescent="0.5">
      <c r="A409" s="2" t="s">
        <v>866</v>
      </c>
      <c r="B409" s="3" t="s">
        <v>49</v>
      </c>
      <c r="C409" s="3" t="s">
        <v>867</v>
      </c>
      <c r="D409" s="72" t="s">
        <v>868</v>
      </c>
      <c r="E409" s="73"/>
      <c r="F409" s="3" t="s">
        <v>150</v>
      </c>
      <c r="G409" s="31">
        <v>24.45</v>
      </c>
      <c r="H409" s="71"/>
      <c r="I409" s="32" t="s">
        <v>56</v>
      </c>
      <c r="J409" s="31">
        <f>G409*AO409</f>
        <v>0</v>
      </c>
      <c r="K409" s="31">
        <f>G409*AP409</f>
        <v>0</v>
      </c>
      <c r="L409" s="31">
        <f>G409*H409</f>
        <v>0</v>
      </c>
      <c r="M409" s="31">
        <f>L409*(1+BW409/100)</f>
        <v>0</v>
      </c>
      <c r="N409" s="31">
        <v>3.7699999999999999E-3</v>
      </c>
      <c r="O409" s="31">
        <f>G409*N409</f>
        <v>9.2176499999999995E-2</v>
      </c>
      <c r="P409" s="33" t="s">
        <v>57</v>
      </c>
      <c r="Z409" s="31">
        <f>IF(AQ409="5",BJ409,0)</f>
        <v>0</v>
      </c>
      <c r="AB409" s="31">
        <f>IF(AQ409="1",BH409,0)</f>
        <v>0</v>
      </c>
      <c r="AC409" s="31">
        <f>IF(AQ409="1",BI409,0)</f>
        <v>0</v>
      </c>
      <c r="AD409" s="31">
        <f>IF(AQ409="7",BH409,0)</f>
        <v>0</v>
      </c>
      <c r="AE409" s="31">
        <f>IF(AQ409="7",BI409,0)</f>
        <v>0</v>
      </c>
      <c r="AF409" s="31">
        <f>IF(AQ409="2",BH409,0)</f>
        <v>0</v>
      </c>
      <c r="AG409" s="31">
        <f>IF(AQ409="2",BI409,0)</f>
        <v>0</v>
      </c>
      <c r="AH409" s="31">
        <f>IF(AQ409="0",BJ409,0)</f>
        <v>0</v>
      </c>
      <c r="AI409" s="12" t="s">
        <v>49</v>
      </c>
      <c r="AJ409" s="31">
        <f>IF(AN409=0,L409,0)</f>
        <v>0</v>
      </c>
      <c r="AK409" s="31">
        <f>IF(AN409=12,L409,0)</f>
        <v>0</v>
      </c>
      <c r="AL409" s="31">
        <f>IF(AN409=21,L409,0)</f>
        <v>0</v>
      </c>
      <c r="AN409" s="31">
        <v>21</v>
      </c>
      <c r="AO409" s="31">
        <f>H409*0</f>
        <v>0</v>
      </c>
      <c r="AP409" s="31">
        <f>H409*(1-0)</f>
        <v>0</v>
      </c>
      <c r="AQ409" s="32" t="s">
        <v>91</v>
      </c>
      <c r="AV409" s="31">
        <f>AW409+AX409</f>
        <v>0</v>
      </c>
      <c r="AW409" s="31">
        <f>G409*AO409</f>
        <v>0</v>
      </c>
      <c r="AX409" s="31">
        <f>G409*AP409</f>
        <v>0</v>
      </c>
      <c r="AY409" s="32" t="s">
        <v>818</v>
      </c>
      <c r="AZ409" s="32" t="s">
        <v>461</v>
      </c>
      <c r="BA409" s="12" t="s">
        <v>60</v>
      </c>
      <c r="BC409" s="31">
        <f>AW409+AX409</f>
        <v>0</v>
      </c>
      <c r="BD409" s="31">
        <f>H409/(100-BE409)*100</f>
        <v>0</v>
      </c>
      <c r="BE409" s="31">
        <v>0</v>
      </c>
      <c r="BF409" s="31">
        <f>O409</f>
        <v>9.2176499999999995E-2</v>
      </c>
      <c r="BH409" s="31">
        <f>G409*AO409</f>
        <v>0</v>
      </c>
      <c r="BI409" s="31">
        <f>G409*AP409</f>
        <v>0</v>
      </c>
      <c r="BJ409" s="31">
        <f>G409*H409</f>
        <v>0</v>
      </c>
      <c r="BK409" s="31"/>
      <c r="BL409" s="31">
        <v>764</v>
      </c>
      <c r="BW409" s="31" t="str">
        <f>I409</f>
        <v>21</v>
      </c>
      <c r="BX409" s="4" t="s">
        <v>868</v>
      </c>
    </row>
    <row r="410" spans="1:76" ht="14.35" x14ac:dyDescent="0.5">
      <c r="A410" s="34"/>
      <c r="D410" s="35" t="s">
        <v>869</v>
      </c>
      <c r="E410" s="35" t="s">
        <v>49</v>
      </c>
      <c r="G410" s="36">
        <v>24.45</v>
      </c>
      <c r="P410" s="37"/>
    </row>
    <row r="411" spans="1:76" ht="14.35" x14ac:dyDescent="0.5">
      <c r="A411" s="2" t="s">
        <v>870</v>
      </c>
      <c r="B411" s="3" t="s">
        <v>49</v>
      </c>
      <c r="C411" s="3" t="s">
        <v>871</v>
      </c>
      <c r="D411" s="72" t="s">
        <v>872</v>
      </c>
      <c r="E411" s="73"/>
      <c r="F411" s="3" t="s">
        <v>125</v>
      </c>
      <c r="G411" s="31">
        <v>10.199999999999999</v>
      </c>
      <c r="H411" s="71"/>
      <c r="I411" s="32" t="s">
        <v>56</v>
      </c>
      <c r="J411" s="31">
        <f>G411*AO411</f>
        <v>0</v>
      </c>
      <c r="K411" s="31">
        <f>G411*AP411</f>
        <v>0</v>
      </c>
      <c r="L411" s="31">
        <f>G411*H411</f>
        <v>0</v>
      </c>
      <c r="M411" s="31">
        <f>L411*(1+BW411/100)</f>
        <v>0</v>
      </c>
      <c r="N411" s="31">
        <v>7.2100000000000003E-3</v>
      </c>
      <c r="O411" s="31">
        <f>G411*N411</f>
        <v>7.3541999999999996E-2</v>
      </c>
      <c r="P411" s="33" t="s">
        <v>57</v>
      </c>
      <c r="Z411" s="31">
        <f>IF(AQ411="5",BJ411,0)</f>
        <v>0</v>
      </c>
      <c r="AB411" s="31">
        <f>IF(AQ411="1",BH411,0)</f>
        <v>0</v>
      </c>
      <c r="AC411" s="31">
        <f>IF(AQ411="1",BI411,0)</f>
        <v>0</v>
      </c>
      <c r="AD411" s="31">
        <f>IF(AQ411="7",BH411,0)</f>
        <v>0</v>
      </c>
      <c r="AE411" s="31">
        <f>IF(AQ411="7",BI411,0)</f>
        <v>0</v>
      </c>
      <c r="AF411" s="31">
        <f>IF(AQ411="2",BH411,0)</f>
        <v>0</v>
      </c>
      <c r="AG411" s="31">
        <f>IF(AQ411="2",BI411,0)</f>
        <v>0</v>
      </c>
      <c r="AH411" s="31">
        <f>IF(AQ411="0",BJ411,0)</f>
        <v>0</v>
      </c>
      <c r="AI411" s="12" t="s">
        <v>49</v>
      </c>
      <c r="AJ411" s="31">
        <f>IF(AN411=0,L411,0)</f>
        <v>0</v>
      </c>
      <c r="AK411" s="31">
        <f>IF(AN411=12,L411,0)</f>
        <v>0</v>
      </c>
      <c r="AL411" s="31">
        <f>IF(AN411=21,L411,0)</f>
        <v>0</v>
      </c>
      <c r="AN411" s="31">
        <v>21</v>
      </c>
      <c r="AO411" s="31">
        <f>H411*0</f>
        <v>0</v>
      </c>
      <c r="AP411" s="31">
        <f>H411*(1-0)</f>
        <v>0</v>
      </c>
      <c r="AQ411" s="32" t="s">
        <v>91</v>
      </c>
      <c r="AV411" s="31">
        <f>AW411+AX411</f>
        <v>0</v>
      </c>
      <c r="AW411" s="31">
        <f>G411*AO411</f>
        <v>0</v>
      </c>
      <c r="AX411" s="31">
        <f>G411*AP411</f>
        <v>0</v>
      </c>
      <c r="AY411" s="32" t="s">
        <v>818</v>
      </c>
      <c r="AZ411" s="32" t="s">
        <v>461</v>
      </c>
      <c r="BA411" s="12" t="s">
        <v>60</v>
      </c>
      <c r="BC411" s="31">
        <f>AW411+AX411</f>
        <v>0</v>
      </c>
      <c r="BD411" s="31">
        <f>H411/(100-BE411)*100</f>
        <v>0</v>
      </c>
      <c r="BE411" s="31">
        <v>0</v>
      </c>
      <c r="BF411" s="31">
        <f>O411</f>
        <v>7.3541999999999996E-2</v>
      </c>
      <c r="BH411" s="31">
        <f>G411*AO411</f>
        <v>0</v>
      </c>
      <c r="BI411" s="31">
        <f>G411*AP411</f>
        <v>0</v>
      </c>
      <c r="BJ411" s="31">
        <f>G411*H411</f>
        <v>0</v>
      </c>
      <c r="BK411" s="31"/>
      <c r="BL411" s="31">
        <v>764</v>
      </c>
      <c r="BW411" s="31" t="str">
        <f>I411</f>
        <v>21</v>
      </c>
      <c r="BX411" s="4" t="s">
        <v>872</v>
      </c>
    </row>
    <row r="412" spans="1:76" ht="14.35" x14ac:dyDescent="0.5">
      <c r="A412" s="2" t="s">
        <v>873</v>
      </c>
      <c r="B412" s="3" t="s">
        <v>49</v>
      </c>
      <c r="C412" s="3" t="s">
        <v>874</v>
      </c>
      <c r="D412" s="72" t="s">
        <v>875</v>
      </c>
      <c r="E412" s="73"/>
      <c r="F412" s="3" t="s">
        <v>290</v>
      </c>
      <c r="G412" s="31">
        <v>1.56</v>
      </c>
      <c r="H412" s="71"/>
      <c r="I412" s="32" t="s">
        <v>56</v>
      </c>
      <c r="J412" s="31">
        <f>G412*AO412</f>
        <v>0</v>
      </c>
      <c r="K412" s="31">
        <f>G412*AP412</f>
        <v>0</v>
      </c>
      <c r="L412" s="31">
        <f>G412*H412</f>
        <v>0</v>
      </c>
      <c r="M412" s="31">
        <f>L412*(1+BW412/100)</f>
        <v>0</v>
      </c>
      <c r="N412" s="31">
        <v>0</v>
      </c>
      <c r="O412" s="31">
        <f>G412*N412</f>
        <v>0</v>
      </c>
      <c r="P412" s="33" t="s">
        <v>57</v>
      </c>
      <c r="Z412" s="31">
        <f>IF(AQ412="5",BJ412,0)</f>
        <v>0</v>
      </c>
      <c r="AB412" s="31">
        <f>IF(AQ412="1",BH412,0)</f>
        <v>0</v>
      </c>
      <c r="AC412" s="31">
        <f>IF(AQ412="1",BI412,0)</f>
        <v>0</v>
      </c>
      <c r="AD412" s="31">
        <f>IF(AQ412="7",BH412,0)</f>
        <v>0</v>
      </c>
      <c r="AE412" s="31">
        <f>IF(AQ412="7",BI412,0)</f>
        <v>0</v>
      </c>
      <c r="AF412" s="31">
        <f>IF(AQ412="2",BH412,0)</f>
        <v>0</v>
      </c>
      <c r="AG412" s="31">
        <f>IF(AQ412="2",BI412,0)</f>
        <v>0</v>
      </c>
      <c r="AH412" s="31">
        <f>IF(AQ412="0",BJ412,0)</f>
        <v>0</v>
      </c>
      <c r="AI412" s="12" t="s">
        <v>49</v>
      </c>
      <c r="AJ412" s="31">
        <f>IF(AN412=0,L412,0)</f>
        <v>0</v>
      </c>
      <c r="AK412" s="31">
        <f>IF(AN412=12,L412,0)</f>
        <v>0</v>
      </c>
      <c r="AL412" s="31">
        <f>IF(AN412=21,L412,0)</f>
        <v>0</v>
      </c>
      <c r="AN412" s="31">
        <v>21</v>
      </c>
      <c r="AO412" s="31">
        <f>H412*0</f>
        <v>0</v>
      </c>
      <c r="AP412" s="31">
        <f>H412*(1-0)</f>
        <v>0</v>
      </c>
      <c r="AQ412" s="32" t="s">
        <v>81</v>
      </c>
      <c r="AV412" s="31">
        <f>AW412+AX412</f>
        <v>0</v>
      </c>
      <c r="AW412" s="31">
        <f>G412*AO412</f>
        <v>0</v>
      </c>
      <c r="AX412" s="31">
        <f>G412*AP412</f>
        <v>0</v>
      </c>
      <c r="AY412" s="32" t="s">
        <v>818</v>
      </c>
      <c r="AZ412" s="32" t="s">
        <v>461</v>
      </c>
      <c r="BA412" s="12" t="s">
        <v>60</v>
      </c>
      <c r="BC412" s="31">
        <f>AW412+AX412</f>
        <v>0</v>
      </c>
      <c r="BD412" s="31">
        <f>H412/(100-BE412)*100</f>
        <v>0</v>
      </c>
      <c r="BE412" s="31">
        <v>0</v>
      </c>
      <c r="BF412" s="31">
        <f>O412</f>
        <v>0</v>
      </c>
      <c r="BH412" s="31">
        <f>G412*AO412</f>
        <v>0</v>
      </c>
      <c r="BI412" s="31">
        <f>G412*AP412</f>
        <v>0</v>
      </c>
      <c r="BJ412" s="31">
        <f>G412*H412</f>
        <v>0</v>
      </c>
      <c r="BK412" s="31"/>
      <c r="BL412" s="31">
        <v>764</v>
      </c>
      <c r="BW412" s="31" t="str">
        <f>I412</f>
        <v>21</v>
      </c>
      <c r="BX412" s="4" t="s">
        <v>875</v>
      </c>
    </row>
    <row r="413" spans="1:76" ht="14.35" x14ac:dyDescent="0.5">
      <c r="A413" s="38" t="s">
        <v>49</v>
      </c>
      <c r="B413" s="39" t="s">
        <v>49</v>
      </c>
      <c r="C413" s="39" t="s">
        <v>876</v>
      </c>
      <c r="D413" s="126" t="s">
        <v>877</v>
      </c>
      <c r="E413" s="127"/>
      <c r="F413" s="40" t="s">
        <v>3</v>
      </c>
      <c r="G413" s="40" t="s">
        <v>3</v>
      </c>
      <c r="H413" s="40" t="s">
        <v>3</v>
      </c>
      <c r="I413" s="40" t="s">
        <v>3</v>
      </c>
      <c r="J413" s="1">
        <f>SUM(J414:J429)</f>
        <v>0</v>
      </c>
      <c r="K413" s="1">
        <f>SUM(K414:K429)</f>
        <v>0</v>
      </c>
      <c r="L413" s="1">
        <f>SUM(L414:L429)</f>
        <v>0</v>
      </c>
      <c r="M413" s="1">
        <f>SUM(M414:M429)</f>
        <v>0</v>
      </c>
      <c r="N413" s="12" t="s">
        <v>49</v>
      </c>
      <c r="O413" s="1">
        <f>SUM(O414:O429)</f>
        <v>116.78928249999998</v>
      </c>
      <c r="P413" s="41" t="s">
        <v>49</v>
      </c>
      <c r="AI413" s="12" t="s">
        <v>49</v>
      </c>
      <c r="AS413" s="1">
        <f>SUM(AJ414:AJ429)</f>
        <v>0</v>
      </c>
      <c r="AT413" s="1">
        <f>SUM(AK414:AK429)</f>
        <v>0</v>
      </c>
      <c r="AU413" s="1">
        <f>SUM(AL414:AL429)</f>
        <v>0</v>
      </c>
    </row>
    <row r="414" spans="1:76" ht="14.35" x14ac:dyDescent="0.5">
      <c r="A414" s="2" t="s">
        <v>878</v>
      </c>
      <c r="B414" s="3" t="s">
        <v>49</v>
      </c>
      <c r="C414" s="3" t="s">
        <v>879</v>
      </c>
      <c r="D414" s="72" t="s">
        <v>880</v>
      </c>
      <c r="E414" s="73"/>
      <c r="F414" s="3" t="s">
        <v>125</v>
      </c>
      <c r="G414" s="31">
        <v>825.92</v>
      </c>
      <c r="H414" s="71"/>
      <c r="I414" s="32" t="s">
        <v>56</v>
      </c>
      <c r="J414" s="31">
        <f>G414*AO414</f>
        <v>0</v>
      </c>
      <c r="K414" s="31">
        <f>G414*AP414</f>
        <v>0</v>
      </c>
      <c r="L414" s="31">
        <f>G414*H414</f>
        <v>0</v>
      </c>
      <c r="M414" s="31">
        <f>L414*(1+BW414/100)</f>
        <v>0</v>
      </c>
      <c r="N414" s="31">
        <v>7.2289999999999993E-2</v>
      </c>
      <c r="O414" s="31">
        <f>G414*N414</f>
        <v>59.705756799999989</v>
      </c>
      <c r="P414" s="33" t="s">
        <v>57</v>
      </c>
      <c r="Z414" s="31">
        <f>IF(AQ414="5",BJ414,0)</f>
        <v>0</v>
      </c>
      <c r="AB414" s="31">
        <f>IF(AQ414="1",BH414,0)</f>
        <v>0</v>
      </c>
      <c r="AC414" s="31">
        <f>IF(AQ414="1",BI414,0)</f>
        <v>0</v>
      </c>
      <c r="AD414" s="31">
        <f>IF(AQ414="7",BH414,0)</f>
        <v>0</v>
      </c>
      <c r="AE414" s="31">
        <f>IF(AQ414="7",BI414,0)</f>
        <v>0</v>
      </c>
      <c r="AF414" s="31">
        <f>IF(AQ414="2",BH414,0)</f>
        <v>0</v>
      </c>
      <c r="AG414" s="31">
        <f>IF(AQ414="2",BI414,0)</f>
        <v>0</v>
      </c>
      <c r="AH414" s="31">
        <f>IF(AQ414="0",BJ414,0)</f>
        <v>0</v>
      </c>
      <c r="AI414" s="12" t="s">
        <v>49</v>
      </c>
      <c r="AJ414" s="31">
        <f>IF(AN414=0,L414,0)</f>
        <v>0</v>
      </c>
      <c r="AK414" s="31">
        <f>IF(AN414=12,L414,0)</f>
        <v>0</v>
      </c>
      <c r="AL414" s="31">
        <f>IF(AN414=21,L414,0)</f>
        <v>0</v>
      </c>
      <c r="AN414" s="31">
        <v>21</v>
      </c>
      <c r="AO414" s="31">
        <f>H414*0.741272352</f>
        <v>0</v>
      </c>
      <c r="AP414" s="31">
        <f>H414*(1-0.741272352)</f>
        <v>0</v>
      </c>
      <c r="AQ414" s="32" t="s">
        <v>91</v>
      </c>
      <c r="AV414" s="31">
        <f>AW414+AX414</f>
        <v>0</v>
      </c>
      <c r="AW414" s="31">
        <f>G414*AO414</f>
        <v>0</v>
      </c>
      <c r="AX414" s="31">
        <f>G414*AP414</f>
        <v>0</v>
      </c>
      <c r="AY414" s="32" t="s">
        <v>881</v>
      </c>
      <c r="AZ414" s="32" t="s">
        <v>461</v>
      </c>
      <c r="BA414" s="12" t="s">
        <v>60</v>
      </c>
      <c r="BC414" s="31">
        <f>AW414+AX414</f>
        <v>0</v>
      </c>
      <c r="BD414" s="31">
        <f>H414/(100-BE414)*100</f>
        <v>0</v>
      </c>
      <c r="BE414" s="31">
        <v>0</v>
      </c>
      <c r="BF414" s="31">
        <f>O414</f>
        <v>59.705756799999989</v>
      </c>
      <c r="BH414" s="31">
        <f>G414*AO414</f>
        <v>0</v>
      </c>
      <c r="BI414" s="31">
        <f>G414*AP414</f>
        <v>0</v>
      </c>
      <c r="BJ414" s="31">
        <f>G414*H414</f>
        <v>0</v>
      </c>
      <c r="BK414" s="31"/>
      <c r="BL414" s="31">
        <v>765</v>
      </c>
      <c r="BW414" s="31" t="str">
        <f>I414</f>
        <v>21</v>
      </c>
      <c r="BX414" s="4" t="s">
        <v>880</v>
      </c>
    </row>
    <row r="415" spans="1:76" ht="14.35" x14ac:dyDescent="0.5">
      <c r="A415" s="34"/>
      <c r="D415" s="35" t="s">
        <v>696</v>
      </c>
      <c r="E415" s="35" t="s">
        <v>697</v>
      </c>
      <c r="G415" s="36">
        <v>351.58</v>
      </c>
      <c r="P415" s="37"/>
    </row>
    <row r="416" spans="1:76" ht="14.35" x14ac:dyDescent="0.5">
      <c r="A416" s="34"/>
      <c r="D416" s="35" t="s">
        <v>698</v>
      </c>
      <c r="E416" s="35" t="s">
        <v>699</v>
      </c>
      <c r="G416" s="36">
        <v>346.05</v>
      </c>
      <c r="P416" s="37"/>
    </row>
    <row r="417" spans="1:76" ht="14.35" x14ac:dyDescent="0.5">
      <c r="A417" s="34"/>
      <c r="D417" s="35" t="s">
        <v>700</v>
      </c>
      <c r="E417" s="35" t="s">
        <v>701</v>
      </c>
      <c r="G417" s="36">
        <v>71.67</v>
      </c>
      <c r="P417" s="37"/>
    </row>
    <row r="418" spans="1:76" ht="14.35" x14ac:dyDescent="0.5">
      <c r="A418" s="34"/>
      <c r="D418" s="35" t="s">
        <v>702</v>
      </c>
      <c r="E418" s="35" t="s">
        <v>703</v>
      </c>
      <c r="G418" s="36">
        <v>56.62</v>
      </c>
      <c r="P418" s="37"/>
    </row>
    <row r="419" spans="1:76" ht="14.35" x14ac:dyDescent="0.5">
      <c r="A419" s="2" t="s">
        <v>882</v>
      </c>
      <c r="B419" s="3" t="s">
        <v>49</v>
      </c>
      <c r="C419" s="3" t="s">
        <v>883</v>
      </c>
      <c r="D419" s="72" t="s">
        <v>884</v>
      </c>
      <c r="E419" s="73"/>
      <c r="F419" s="3" t="s">
        <v>125</v>
      </c>
      <c r="G419" s="31">
        <v>11.2</v>
      </c>
      <c r="H419" s="71"/>
      <c r="I419" s="32" t="s">
        <v>56</v>
      </c>
      <c r="J419" s="31">
        <f>G419*AO419</f>
        <v>0</v>
      </c>
      <c r="K419" s="31">
        <f>G419*AP419</f>
        <v>0</v>
      </c>
      <c r="L419" s="31">
        <f>G419*H419</f>
        <v>0</v>
      </c>
      <c r="M419" s="31">
        <f>L419*(1+BW419/100)</f>
        <v>0</v>
      </c>
      <c r="N419" s="31">
        <v>7.331E-2</v>
      </c>
      <c r="O419" s="31">
        <f>G419*N419</f>
        <v>0.82107199999999991</v>
      </c>
      <c r="P419" s="33" t="s">
        <v>57</v>
      </c>
      <c r="Z419" s="31">
        <f>IF(AQ419="5",BJ419,0)</f>
        <v>0</v>
      </c>
      <c r="AB419" s="31">
        <f>IF(AQ419="1",BH419,0)</f>
        <v>0</v>
      </c>
      <c r="AC419" s="31">
        <f>IF(AQ419="1",BI419,0)</f>
        <v>0</v>
      </c>
      <c r="AD419" s="31">
        <f>IF(AQ419="7",BH419,0)</f>
        <v>0</v>
      </c>
      <c r="AE419" s="31">
        <f>IF(AQ419="7",BI419,0)</f>
        <v>0</v>
      </c>
      <c r="AF419" s="31">
        <f>IF(AQ419="2",BH419,0)</f>
        <v>0</v>
      </c>
      <c r="AG419" s="31">
        <f>IF(AQ419="2",BI419,0)</f>
        <v>0</v>
      </c>
      <c r="AH419" s="31">
        <f>IF(AQ419="0",BJ419,0)</f>
        <v>0</v>
      </c>
      <c r="AI419" s="12" t="s">
        <v>49</v>
      </c>
      <c r="AJ419" s="31">
        <f>IF(AN419=0,L419,0)</f>
        <v>0</v>
      </c>
      <c r="AK419" s="31">
        <f>IF(AN419=12,L419,0)</f>
        <v>0</v>
      </c>
      <c r="AL419" s="31">
        <f>IF(AN419=21,L419,0)</f>
        <v>0</v>
      </c>
      <c r="AN419" s="31">
        <v>21</v>
      </c>
      <c r="AO419" s="31">
        <f>H419*0.313243417</f>
        <v>0</v>
      </c>
      <c r="AP419" s="31">
        <f>H419*(1-0.313243417)</f>
        <v>0</v>
      </c>
      <c r="AQ419" s="32" t="s">
        <v>91</v>
      </c>
      <c r="AV419" s="31">
        <f>AW419+AX419</f>
        <v>0</v>
      </c>
      <c r="AW419" s="31">
        <f>G419*AO419</f>
        <v>0</v>
      </c>
      <c r="AX419" s="31">
        <f>G419*AP419</f>
        <v>0</v>
      </c>
      <c r="AY419" s="32" t="s">
        <v>881</v>
      </c>
      <c r="AZ419" s="32" t="s">
        <v>461</v>
      </c>
      <c r="BA419" s="12" t="s">
        <v>60</v>
      </c>
      <c r="BC419" s="31">
        <f>AW419+AX419</f>
        <v>0</v>
      </c>
      <c r="BD419" s="31">
        <f>H419/(100-BE419)*100</f>
        <v>0</v>
      </c>
      <c r="BE419" s="31">
        <v>0</v>
      </c>
      <c r="BF419" s="31">
        <f>O419</f>
        <v>0.82107199999999991</v>
      </c>
      <c r="BH419" s="31">
        <f>G419*AO419</f>
        <v>0</v>
      </c>
      <c r="BI419" s="31">
        <f>G419*AP419</f>
        <v>0</v>
      </c>
      <c r="BJ419" s="31">
        <f>G419*H419</f>
        <v>0</v>
      </c>
      <c r="BK419" s="31"/>
      <c r="BL419" s="31">
        <v>765</v>
      </c>
      <c r="BW419" s="31" t="str">
        <f>I419</f>
        <v>21</v>
      </c>
      <c r="BX419" s="4" t="s">
        <v>884</v>
      </c>
    </row>
    <row r="420" spans="1:76" ht="14.35" x14ac:dyDescent="0.5">
      <c r="A420" s="34"/>
      <c r="D420" s="35" t="s">
        <v>885</v>
      </c>
      <c r="E420" s="35" t="s">
        <v>49</v>
      </c>
      <c r="G420" s="36">
        <v>11.2</v>
      </c>
      <c r="P420" s="37"/>
    </row>
    <row r="421" spans="1:76" ht="14.35" x14ac:dyDescent="0.5">
      <c r="A421" s="2" t="s">
        <v>886</v>
      </c>
      <c r="B421" s="3" t="s">
        <v>49</v>
      </c>
      <c r="C421" s="3" t="s">
        <v>887</v>
      </c>
      <c r="D421" s="72" t="s">
        <v>888</v>
      </c>
      <c r="E421" s="73"/>
      <c r="F421" s="3" t="s">
        <v>150</v>
      </c>
      <c r="G421" s="31">
        <v>44.19</v>
      </c>
      <c r="H421" s="71"/>
      <c r="I421" s="32" t="s">
        <v>56</v>
      </c>
      <c r="J421" s="31">
        <f>G421*AO421</f>
        <v>0</v>
      </c>
      <c r="K421" s="31">
        <f>G421*AP421</f>
        <v>0</v>
      </c>
      <c r="L421" s="31">
        <f>G421*H421</f>
        <v>0</v>
      </c>
      <c r="M421" s="31">
        <f>L421*(1+BW421/100)</f>
        <v>0</v>
      </c>
      <c r="N421" s="31">
        <v>1.1140000000000001E-2</v>
      </c>
      <c r="O421" s="31">
        <f>G421*N421</f>
        <v>0.49227660000000001</v>
      </c>
      <c r="P421" s="33" t="s">
        <v>395</v>
      </c>
      <c r="Z421" s="31">
        <f>IF(AQ421="5",BJ421,0)</f>
        <v>0</v>
      </c>
      <c r="AB421" s="31">
        <f>IF(AQ421="1",BH421,0)</f>
        <v>0</v>
      </c>
      <c r="AC421" s="31">
        <f>IF(AQ421="1",BI421,0)</f>
        <v>0</v>
      </c>
      <c r="AD421" s="31">
        <f>IF(AQ421="7",BH421,0)</f>
        <v>0</v>
      </c>
      <c r="AE421" s="31">
        <f>IF(AQ421="7",BI421,0)</f>
        <v>0</v>
      </c>
      <c r="AF421" s="31">
        <f>IF(AQ421="2",BH421,0)</f>
        <v>0</v>
      </c>
      <c r="AG421" s="31">
        <f>IF(AQ421="2",BI421,0)</f>
        <v>0</v>
      </c>
      <c r="AH421" s="31">
        <f>IF(AQ421="0",BJ421,0)</f>
        <v>0</v>
      </c>
      <c r="AI421" s="12" t="s">
        <v>49</v>
      </c>
      <c r="AJ421" s="31">
        <f>IF(AN421=0,L421,0)</f>
        <v>0</v>
      </c>
      <c r="AK421" s="31">
        <f>IF(AN421=12,L421,0)</f>
        <v>0</v>
      </c>
      <c r="AL421" s="31">
        <f>IF(AN421=21,L421,0)</f>
        <v>0</v>
      </c>
      <c r="AN421" s="31">
        <v>21</v>
      </c>
      <c r="AO421" s="31">
        <f>H421*0.862079187</f>
        <v>0</v>
      </c>
      <c r="AP421" s="31">
        <f>H421*(1-0.862079187)</f>
        <v>0</v>
      </c>
      <c r="AQ421" s="32" t="s">
        <v>91</v>
      </c>
      <c r="AV421" s="31">
        <f>AW421+AX421</f>
        <v>0</v>
      </c>
      <c r="AW421" s="31">
        <f>G421*AO421</f>
        <v>0</v>
      </c>
      <c r="AX421" s="31">
        <f>G421*AP421</f>
        <v>0</v>
      </c>
      <c r="AY421" s="32" t="s">
        <v>881</v>
      </c>
      <c r="AZ421" s="32" t="s">
        <v>461</v>
      </c>
      <c r="BA421" s="12" t="s">
        <v>60</v>
      </c>
      <c r="BC421" s="31">
        <f>AW421+AX421</f>
        <v>0</v>
      </c>
      <c r="BD421" s="31">
        <f>H421/(100-BE421)*100</f>
        <v>0</v>
      </c>
      <c r="BE421" s="31">
        <v>0</v>
      </c>
      <c r="BF421" s="31">
        <f>O421</f>
        <v>0.49227660000000001</v>
      </c>
      <c r="BH421" s="31">
        <f>G421*AO421</f>
        <v>0</v>
      </c>
      <c r="BI421" s="31">
        <f>G421*AP421</f>
        <v>0</v>
      </c>
      <c r="BJ421" s="31">
        <f>G421*H421</f>
        <v>0</v>
      </c>
      <c r="BK421" s="31"/>
      <c r="BL421" s="31">
        <v>765</v>
      </c>
      <c r="BW421" s="31" t="str">
        <f>I421</f>
        <v>21</v>
      </c>
      <c r="BX421" s="4" t="s">
        <v>888</v>
      </c>
    </row>
    <row r="422" spans="1:76" ht="14.35" x14ac:dyDescent="0.5">
      <c r="A422" s="34"/>
      <c r="D422" s="35" t="s">
        <v>889</v>
      </c>
      <c r="E422" s="35" t="s">
        <v>49</v>
      </c>
      <c r="G422" s="36">
        <v>44.19</v>
      </c>
      <c r="P422" s="37"/>
    </row>
    <row r="423" spans="1:76" ht="14.35" x14ac:dyDescent="0.5">
      <c r="A423" s="2" t="s">
        <v>890</v>
      </c>
      <c r="B423" s="3" t="s">
        <v>49</v>
      </c>
      <c r="C423" s="3" t="s">
        <v>891</v>
      </c>
      <c r="D423" s="72" t="s">
        <v>892</v>
      </c>
      <c r="E423" s="73"/>
      <c r="F423" s="3" t="s">
        <v>150</v>
      </c>
      <c r="G423" s="31">
        <v>29.32</v>
      </c>
      <c r="H423" s="71"/>
      <c r="I423" s="32" t="s">
        <v>56</v>
      </c>
      <c r="J423" s="31">
        <f>G423*AO423</f>
        <v>0</v>
      </c>
      <c r="K423" s="31">
        <f>G423*AP423</f>
        <v>0</v>
      </c>
      <c r="L423" s="31">
        <f>G423*H423</f>
        <v>0</v>
      </c>
      <c r="M423" s="31">
        <f>L423*(1+BW423/100)</f>
        <v>0</v>
      </c>
      <c r="N423" s="31">
        <v>1.111E-2</v>
      </c>
      <c r="O423" s="31">
        <f>G423*N423</f>
        <v>0.32574520000000001</v>
      </c>
      <c r="P423" s="33" t="s">
        <v>395</v>
      </c>
      <c r="Z423" s="31">
        <f>IF(AQ423="5",BJ423,0)</f>
        <v>0</v>
      </c>
      <c r="AB423" s="31">
        <f>IF(AQ423="1",BH423,0)</f>
        <v>0</v>
      </c>
      <c r="AC423" s="31">
        <f>IF(AQ423="1",BI423,0)</f>
        <v>0</v>
      </c>
      <c r="AD423" s="31">
        <f>IF(AQ423="7",BH423,0)</f>
        <v>0</v>
      </c>
      <c r="AE423" s="31">
        <f>IF(AQ423="7",BI423,0)</f>
        <v>0</v>
      </c>
      <c r="AF423" s="31">
        <f>IF(AQ423="2",BH423,0)</f>
        <v>0</v>
      </c>
      <c r="AG423" s="31">
        <f>IF(AQ423="2",BI423,0)</f>
        <v>0</v>
      </c>
      <c r="AH423" s="31">
        <f>IF(AQ423="0",BJ423,0)</f>
        <v>0</v>
      </c>
      <c r="AI423" s="12" t="s">
        <v>49</v>
      </c>
      <c r="AJ423" s="31">
        <f>IF(AN423=0,L423,0)</f>
        <v>0</v>
      </c>
      <c r="AK423" s="31">
        <f>IF(AN423=12,L423,0)</f>
        <v>0</v>
      </c>
      <c r="AL423" s="31">
        <f>IF(AN423=21,L423,0)</f>
        <v>0</v>
      </c>
      <c r="AN423" s="31">
        <v>21</v>
      </c>
      <c r="AO423" s="31">
        <f>H423*0.803352676</f>
        <v>0</v>
      </c>
      <c r="AP423" s="31">
        <f>H423*(1-0.803352676)</f>
        <v>0</v>
      </c>
      <c r="AQ423" s="32" t="s">
        <v>91</v>
      </c>
      <c r="AV423" s="31">
        <f>AW423+AX423</f>
        <v>0</v>
      </c>
      <c r="AW423" s="31">
        <f>G423*AO423</f>
        <v>0</v>
      </c>
      <c r="AX423" s="31">
        <f>G423*AP423</f>
        <v>0</v>
      </c>
      <c r="AY423" s="32" t="s">
        <v>881</v>
      </c>
      <c r="AZ423" s="32" t="s">
        <v>461</v>
      </c>
      <c r="BA423" s="12" t="s">
        <v>60</v>
      </c>
      <c r="BC423" s="31">
        <f>AW423+AX423</f>
        <v>0</v>
      </c>
      <c r="BD423" s="31">
        <f>H423/(100-BE423)*100</f>
        <v>0</v>
      </c>
      <c r="BE423" s="31">
        <v>0</v>
      </c>
      <c r="BF423" s="31">
        <f>O423</f>
        <v>0.32574520000000001</v>
      </c>
      <c r="BH423" s="31">
        <f>G423*AO423</f>
        <v>0</v>
      </c>
      <c r="BI423" s="31">
        <f>G423*AP423</f>
        <v>0</v>
      </c>
      <c r="BJ423" s="31">
        <f>G423*H423</f>
        <v>0</v>
      </c>
      <c r="BK423" s="31"/>
      <c r="BL423" s="31">
        <v>765</v>
      </c>
      <c r="BW423" s="31" t="str">
        <f>I423</f>
        <v>21</v>
      </c>
      <c r="BX423" s="4" t="s">
        <v>892</v>
      </c>
    </row>
    <row r="424" spans="1:76" ht="14.35" x14ac:dyDescent="0.5">
      <c r="A424" s="34"/>
      <c r="D424" s="35" t="s">
        <v>893</v>
      </c>
      <c r="E424" s="35" t="s">
        <v>49</v>
      </c>
      <c r="G424" s="36">
        <v>29.32</v>
      </c>
      <c r="P424" s="37"/>
    </row>
    <row r="425" spans="1:76" ht="14.35" x14ac:dyDescent="0.5">
      <c r="A425" s="2" t="s">
        <v>894</v>
      </c>
      <c r="B425" s="3" t="s">
        <v>49</v>
      </c>
      <c r="C425" s="3" t="s">
        <v>895</v>
      </c>
      <c r="D425" s="72" t="s">
        <v>896</v>
      </c>
      <c r="E425" s="73"/>
      <c r="F425" s="3" t="s">
        <v>150</v>
      </c>
      <c r="G425" s="31">
        <v>13.26</v>
      </c>
      <c r="H425" s="71"/>
      <c r="I425" s="32" t="s">
        <v>56</v>
      </c>
      <c r="J425" s="31">
        <f>G425*AO425</f>
        <v>0</v>
      </c>
      <c r="K425" s="31">
        <f>G425*AP425</f>
        <v>0</v>
      </c>
      <c r="L425" s="31">
        <f>G425*H425</f>
        <v>0</v>
      </c>
      <c r="M425" s="31">
        <f>L425*(1+BW425/100)</f>
        <v>0</v>
      </c>
      <c r="N425" s="31">
        <v>5.94E-3</v>
      </c>
      <c r="O425" s="31">
        <f>G425*N425</f>
        <v>7.8764399999999998E-2</v>
      </c>
      <c r="P425" s="33" t="s">
        <v>57</v>
      </c>
      <c r="Z425" s="31">
        <f>IF(AQ425="5",BJ425,0)</f>
        <v>0</v>
      </c>
      <c r="AB425" s="31">
        <f>IF(AQ425="1",BH425,0)</f>
        <v>0</v>
      </c>
      <c r="AC425" s="31">
        <f>IF(AQ425="1",BI425,0)</f>
        <v>0</v>
      </c>
      <c r="AD425" s="31">
        <f>IF(AQ425="7",BH425,0)</f>
        <v>0</v>
      </c>
      <c r="AE425" s="31">
        <f>IF(AQ425="7",BI425,0)</f>
        <v>0</v>
      </c>
      <c r="AF425" s="31">
        <f>IF(AQ425="2",BH425,0)</f>
        <v>0</v>
      </c>
      <c r="AG425" s="31">
        <f>IF(AQ425="2",BI425,0)</f>
        <v>0</v>
      </c>
      <c r="AH425" s="31">
        <f>IF(AQ425="0",BJ425,0)</f>
        <v>0</v>
      </c>
      <c r="AI425" s="12" t="s">
        <v>49</v>
      </c>
      <c r="AJ425" s="31">
        <f>IF(AN425=0,L425,0)</f>
        <v>0</v>
      </c>
      <c r="AK425" s="31">
        <f>IF(AN425=12,L425,0)</f>
        <v>0</v>
      </c>
      <c r="AL425" s="31">
        <f>IF(AN425=21,L425,0)</f>
        <v>0</v>
      </c>
      <c r="AN425" s="31">
        <v>21</v>
      </c>
      <c r="AO425" s="31">
        <f>H425*0.807933526</f>
        <v>0</v>
      </c>
      <c r="AP425" s="31">
        <f>H425*(1-0.807933526)</f>
        <v>0</v>
      </c>
      <c r="AQ425" s="32" t="s">
        <v>91</v>
      </c>
      <c r="AV425" s="31">
        <f>AW425+AX425</f>
        <v>0</v>
      </c>
      <c r="AW425" s="31">
        <f>G425*AO425</f>
        <v>0</v>
      </c>
      <c r="AX425" s="31">
        <f>G425*AP425</f>
        <v>0</v>
      </c>
      <c r="AY425" s="32" t="s">
        <v>881</v>
      </c>
      <c r="AZ425" s="32" t="s">
        <v>461</v>
      </c>
      <c r="BA425" s="12" t="s">
        <v>60</v>
      </c>
      <c r="BC425" s="31">
        <f>AW425+AX425</f>
        <v>0</v>
      </c>
      <c r="BD425" s="31">
        <f>H425/(100-BE425)*100</f>
        <v>0</v>
      </c>
      <c r="BE425" s="31">
        <v>0</v>
      </c>
      <c r="BF425" s="31">
        <f>O425</f>
        <v>7.8764399999999998E-2</v>
      </c>
      <c r="BH425" s="31">
        <f>G425*AO425</f>
        <v>0</v>
      </c>
      <c r="BI425" s="31">
        <f>G425*AP425</f>
        <v>0</v>
      </c>
      <c r="BJ425" s="31">
        <f>G425*H425</f>
        <v>0</v>
      </c>
      <c r="BK425" s="31"/>
      <c r="BL425" s="31">
        <v>765</v>
      </c>
      <c r="BW425" s="31" t="str">
        <f>I425</f>
        <v>21</v>
      </c>
      <c r="BX425" s="4" t="s">
        <v>896</v>
      </c>
    </row>
    <row r="426" spans="1:76" ht="14.35" x14ac:dyDescent="0.5">
      <c r="A426" s="34"/>
      <c r="D426" s="35" t="s">
        <v>897</v>
      </c>
      <c r="E426" s="35" t="s">
        <v>49</v>
      </c>
      <c r="G426" s="36">
        <v>13.26</v>
      </c>
      <c r="P426" s="37"/>
    </row>
    <row r="427" spans="1:76" ht="14.35" x14ac:dyDescent="0.5">
      <c r="A427" s="2" t="s">
        <v>898</v>
      </c>
      <c r="B427" s="3" t="s">
        <v>49</v>
      </c>
      <c r="C427" s="3" t="s">
        <v>899</v>
      </c>
      <c r="D427" s="72" t="s">
        <v>900</v>
      </c>
      <c r="E427" s="73"/>
      <c r="F427" s="3" t="s">
        <v>150</v>
      </c>
      <c r="G427" s="31">
        <v>116.11</v>
      </c>
      <c r="H427" s="71"/>
      <c r="I427" s="32" t="s">
        <v>56</v>
      </c>
      <c r="J427" s="31">
        <f>G427*AO427</f>
        <v>0</v>
      </c>
      <c r="K427" s="31">
        <f>G427*AP427</f>
        <v>0</v>
      </c>
      <c r="L427" s="31">
        <f>G427*H427</f>
        <v>0</v>
      </c>
      <c r="M427" s="31">
        <f>L427*(1+BW427/100)</f>
        <v>0</v>
      </c>
      <c r="N427" s="31">
        <v>2.5000000000000001E-4</v>
      </c>
      <c r="O427" s="31">
        <f>G427*N427</f>
        <v>2.9027500000000001E-2</v>
      </c>
      <c r="P427" s="33" t="s">
        <v>57</v>
      </c>
      <c r="Z427" s="31">
        <f>IF(AQ427="5",BJ427,0)</f>
        <v>0</v>
      </c>
      <c r="AB427" s="31">
        <f>IF(AQ427="1",BH427,0)</f>
        <v>0</v>
      </c>
      <c r="AC427" s="31">
        <f>IF(AQ427="1",BI427,0)</f>
        <v>0</v>
      </c>
      <c r="AD427" s="31">
        <f>IF(AQ427="7",BH427,0)</f>
        <v>0</v>
      </c>
      <c r="AE427" s="31">
        <f>IF(AQ427="7",BI427,0)</f>
        <v>0</v>
      </c>
      <c r="AF427" s="31">
        <f>IF(AQ427="2",BH427,0)</f>
        <v>0</v>
      </c>
      <c r="AG427" s="31">
        <f>IF(AQ427="2",BI427,0)</f>
        <v>0</v>
      </c>
      <c r="AH427" s="31">
        <f>IF(AQ427="0",BJ427,0)</f>
        <v>0</v>
      </c>
      <c r="AI427" s="12" t="s">
        <v>49</v>
      </c>
      <c r="AJ427" s="31">
        <f>IF(AN427=0,L427,0)</f>
        <v>0</v>
      </c>
      <c r="AK427" s="31">
        <f>IF(AN427=12,L427,0)</f>
        <v>0</v>
      </c>
      <c r="AL427" s="31">
        <f>IF(AN427=21,L427,0)</f>
        <v>0</v>
      </c>
      <c r="AN427" s="31">
        <v>21</v>
      </c>
      <c r="AO427" s="31">
        <f>H427*0.52576701</f>
        <v>0</v>
      </c>
      <c r="AP427" s="31">
        <f>H427*(1-0.52576701)</f>
        <v>0</v>
      </c>
      <c r="AQ427" s="32" t="s">
        <v>91</v>
      </c>
      <c r="AV427" s="31">
        <f>AW427+AX427</f>
        <v>0</v>
      </c>
      <c r="AW427" s="31">
        <f>G427*AO427</f>
        <v>0</v>
      </c>
      <c r="AX427" s="31">
        <f>G427*AP427</f>
        <v>0</v>
      </c>
      <c r="AY427" s="32" t="s">
        <v>881</v>
      </c>
      <c r="AZ427" s="32" t="s">
        <v>461</v>
      </c>
      <c r="BA427" s="12" t="s">
        <v>60</v>
      </c>
      <c r="BC427" s="31">
        <f>AW427+AX427</f>
        <v>0</v>
      </c>
      <c r="BD427" s="31">
        <f>H427/(100-BE427)*100</f>
        <v>0</v>
      </c>
      <c r="BE427" s="31">
        <v>0</v>
      </c>
      <c r="BF427" s="31">
        <f>O427</f>
        <v>2.9027500000000001E-2</v>
      </c>
      <c r="BH427" s="31">
        <f>G427*AO427</f>
        <v>0</v>
      </c>
      <c r="BI427" s="31">
        <f>G427*AP427</f>
        <v>0</v>
      </c>
      <c r="BJ427" s="31">
        <f>G427*H427</f>
        <v>0</v>
      </c>
      <c r="BK427" s="31"/>
      <c r="BL427" s="31">
        <v>765</v>
      </c>
      <c r="BW427" s="31" t="str">
        <f>I427</f>
        <v>21</v>
      </c>
      <c r="BX427" s="4" t="s">
        <v>900</v>
      </c>
    </row>
    <row r="428" spans="1:76" ht="14.35" x14ac:dyDescent="0.5">
      <c r="A428" s="2" t="s">
        <v>901</v>
      </c>
      <c r="B428" s="3" t="s">
        <v>49</v>
      </c>
      <c r="C428" s="3" t="s">
        <v>902</v>
      </c>
      <c r="D428" s="72" t="s">
        <v>903</v>
      </c>
      <c r="E428" s="73"/>
      <c r="F428" s="3" t="s">
        <v>125</v>
      </c>
      <c r="G428" s="31">
        <v>825.92</v>
      </c>
      <c r="H428" s="71"/>
      <c r="I428" s="32" t="s">
        <v>56</v>
      </c>
      <c r="J428" s="31">
        <f>G428*AO428</f>
        <v>0</v>
      </c>
      <c r="K428" s="31">
        <f>G428*AP428</f>
        <v>0</v>
      </c>
      <c r="L428" s="31">
        <f>G428*H428</f>
        <v>0</v>
      </c>
      <c r="M428" s="31">
        <f>L428*(1+BW428/100)</f>
        <v>0</v>
      </c>
      <c r="N428" s="31">
        <v>6.7000000000000004E-2</v>
      </c>
      <c r="O428" s="31">
        <f>G428*N428</f>
        <v>55.336640000000003</v>
      </c>
      <c r="P428" s="33" t="s">
        <v>57</v>
      </c>
      <c r="Z428" s="31">
        <f>IF(AQ428="5",BJ428,0)</f>
        <v>0</v>
      </c>
      <c r="AB428" s="31">
        <f>IF(AQ428="1",BH428,0)</f>
        <v>0</v>
      </c>
      <c r="AC428" s="31">
        <f>IF(AQ428="1",BI428,0)</f>
        <v>0</v>
      </c>
      <c r="AD428" s="31">
        <f>IF(AQ428="7",BH428,0)</f>
        <v>0</v>
      </c>
      <c r="AE428" s="31">
        <f>IF(AQ428="7",BI428,0)</f>
        <v>0</v>
      </c>
      <c r="AF428" s="31">
        <f>IF(AQ428="2",BH428,0)</f>
        <v>0</v>
      </c>
      <c r="AG428" s="31">
        <f>IF(AQ428="2",BI428,0)</f>
        <v>0</v>
      </c>
      <c r="AH428" s="31">
        <f>IF(AQ428="0",BJ428,0)</f>
        <v>0</v>
      </c>
      <c r="AI428" s="12" t="s">
        <v>49</v>
      </c>
      <c r="AJ428" s="31">
        <f>IF(AN428=0,L428,0)</f>
        <v>0</v>
      </c>
      <c r="AK428" s="31">
        <f>IF(AN428=12,L428,0)</f>
        <v>0</v>
      </c>
      <c r="AL428" s="31">
        <f>IF(AN428=21,L428,0)</f>
        <v>0</v>
      </c>
      <c r="AN428" s="31">
        <v>21</v>
      </c>
      <c r="AO428" s="31">
        <f>H428*0</f>
        <v>0</v>
      </c>
      <c r="AP428" s="31">
        <f>H428*(1-0)</f>
        <v>0</v>
      </c>
      <c r="AQ428" s="32" t="s">
        <v>91</v>
      </c>
      <c r="AV428" s="31">
        <f>AW428+AX428</f>
        <v>0</v>
      </c>
      <c r="AW428" s="31">
        <f>G428*AO428</f>
        <v>0</v>
      </c>
      <c r="AX428" s="31">
        <f>G428*AP428</f>
        <v>0</v>
      </c>
      <c r="AY428" s="32" t="s">
        <v>881</v>
      </c>
      <c r="AZ428" s="32" t="s">
        <v>461</v>
      </c>
      <c r="BA428" s="12" t="s">
        <v>60</v>
      </c>
      <c r="BC428" s="31">
        <f>AW428+AX428</f>
        <v>0</v>
      </c>
      <c r="BD428" s="31">
        <f>H428/(100-BE428)*100</f>
        <v>0</v>
      </c>
      <c r="BE428" s="31">
        <v>0</v>
      </c>
      <c r="BF428" s="31">
        <f>O428</f>
        <v>55.336640000000003</v>
      </c>
      <c r="BH428" s="31">
        <f>G428*AO428</f>
        <v>0</v>
      </c>
      <c r="BI428" s="31">
        <f>G428*AP428</f>
        <v>0</v>
      </c>
      <c r="BJ428" s="31">
        <f>G428*H428</f>
        <v>0</v>
      </c>
      <c r="BK428" s="31"/>
      <c r="BL428" s="31">
        <v>765</v>
      </c>
      <c r="BW428" s="31" t="str">
        <f>I428</f>
        <v>21</v>
      </c>
      <c r="BX428" s="4" t="s">
        <v>903</v>
      </c>
    </row>
    <row r="429" spans="1:76" ht="14.35" x14ac:dyDescent="0.5">
      <c r="A429" s="2" t="s">
        <v>904</v>
      </c>
      <c r="B429" s="3" t="s">
        <v>49</v>
      </c>
      <c r="C429" s="3" t="s">
        <v>905</v>
      </c>
      <c r="D429" s="72" t="s">
        <v>906</v>
      </c>
      <c r="E429" s="73"/>
      <c r="F429" s="3" t="s">
        <v>290</v>
      </c>
      <c r="G429" s="31">
        <v>116.79</v>
      </c>
      <c r="H429" s="71"/>
      <c r="I429" s="32" t="s">
        <v>56</v>
      </c>
      <c r="J429" s="31">
        <f>G429*AO429</f>
        <v>0</v>
      </c>
      <c r="K429" s="31">
        <f>G429*AP429</f>
        <v>0</v>
      </c>
      <c r="L429" s="31">
        <f>G429*H429</f>
        <v>0</v>
      </c>
      <c r="M429" s="31">
        <f>L429*(1+BW429/100)</f>
        <v>0</v>
      </c>
      <c r="N429" s="31">
        <v>0</v>
      </c>
      <c r="O429" s="31">
        <f>G429*N429</f>
        <v>0</v>
      </c>
      <c r="P429" s="33" t="s">
        <v>57</v>
      </c>
      <c r="Z429" s="31">
        <f>IF(AQ429="5",BJ429,0)</f>
        <v>0</v>
      </c>
      <c r="AB429" s="31">
        <f>IF(AQ429="1",BH429,0)</f>
        <v>0</v>
      </c>
      <c r="AC429" s="31">
        <f>IF(AQ429="1",BI429,0)</f>
        <v>0</v>
      </c>
      <c r="AD429" s="31">
        <f>IF(AQ429="7",BH429,0)</f>
        <v>0</v>
      </c>
      <c r="AE429" s="31">
        <f>IF(AQ429="7",BI429,0)</f>
        <v>0</v>
      </c>
      <c r="AF429" s="31">
        <f>IF(AQ429="2",BH429,0)</f>
        <v>0</v>
      </c>
      <c r="AG429" s="31">
        <f>IF(AQ429="2",BI429,0)</f>
        <v>0</v>
      </c>
      <c r="AH429" s="31">
        <f>IF(AQ429="0",BJ429,0)</f>
        <v>0</v>
      </c>
      <c r="AI429" s="12" t="s">
        <v>49</v>
      </c>
      <c r="AJ429" s="31">
        <f>IF(AN429=0,L429,0)</f>
        <v>0</v>
      </c>
      <c r="AK429" s="31">
        <f>IF(AN429=12,L429,0)</f>
        <v>0</v>
      </c>
      <c r="AL429" s="31">
        <f>IF(AN429=21,L429,0)</f>
        <v>0</v>
      </c>
      <c r="AN429" s="31">
        <v>21</v>
      </c>
      <c r="AO429" s="31">
        <f>H429*0</f>
        <v>0</v>
      </c>
      <c r="AP429" s="31">
        <f>H429*(1-0)</f>
        <v>0</v>
      </c>
      <c r="AQ429" s="32" t="s">
        <v>81</v>
      </c>
      <c r="AV429" s="31">
        <f>AW429+AX429</f>
        <v>0</v>
      </c>
      <c r="AW429" s="31">
        <f>G429*AO429</f>
        <v>0</v>
      </c>
      <c r="AX429" s="31">
        <f>G429*AP429</f>
        <v>0</v>
      </c>
      <c r="AY429" s="32" t="s">
        <v>881</v>
      </c>
      <c r="AZ429" s="32" t="s">
        <v>461</v>
      </c>
      <c r="BA429" s="12" t="s">
        <v>60</v>
      </c>
      <c r="BC429" s="31">
        <f>AW429+AX429</f>
        <v>0</v>
      </c>
      <c r="BD429" s="31">
        <f>H429/(100-BE429)*100</f>
        <v>0</v>
      </c>
      <c r="BE429" s="31">
        <v>0</v>
      </c>
      <c r="BF429" s="31">
        <f>O429</f>
        <v>0</v>
      </c>
      <c r="BH429" s="31">
        <f>G429*AO429</f>
        <v>0</v>
      </c>
      <c r="BI429" s="31">
        <f>G429*AP429</f>
        <v>0</v>
      </c>
      <c r="BJ429" s="31">
        <f>G429*H429</f>
        <v>0</v>
      </c>
      <c r="BK429" s="31"/>
      <c r="BL429" s="31">
        <v>765</v>
      </c>
      <c r="BW429" s="31" t="str">
        <f>I429</f>
        <v>21</v>
      </c>
      <c r="BX429" s="4" t="s">
        <v>906</v>
      </c>
    </row>
    <row r="430" spans="1:76" ht="14.35" x14ac:dyDescent="0.5">
      <c r="A430" s="38" t="s">
        <v>49</v>
      </c>
      <c r="B430" s="39" t="s">
        <v>49</v>
      </c>
      <c r="C430" s="39" t="s">
        <v>907</v>
      </c>
      <c r="D430" s="126" t="s">
        <v>908</v>
      </c>
      <c r="E430" s="127"/>
      <c r="F430" s="40" t="s">
        <v>3</v>
      </c>
      <c r="G430" s="40" t="s">
        <v>3</v>
      </c>
      <c r="H430" s="40" t="s">
        <v>3</v>
      </c>
      <c r="I430" s="40" t="s">
        <v>3</v>
      </c>
      <c r="J430" s="1">
        <f>SUM(J431:J436)</f>
        <v>0</v>
      </c>
      <c r="K430" s="1">
        <f>SUM(K431:K436)</f>
        <v>0</v>
      </c>
      <c r="L430" s="1">
        <f>SUM(L431:L436)</f>
        <v>0</v>
      </c>
      <c r="M430" s="1">
        <f>SUM(M431:M436)</f>
        <v>0</v>
      </c>
      <c r="N430" s="12" t="s">
        <v>49</v>
      </c>
      <c r="O430" s="1">
        <f>SUM(O431:O436)</f>
        <v>7.0200000000000002E-3</v>
      </c>
      <c r="P430" s="41" t="s">
        <v>49</v>
      </c>
      <c r="AI430" s="12" t="s">
        <v>49</v>
      </c>
      <c r="AS430" s="1">
        <f>SUM(AJ431:AJ436)</f>
        <v>0</v>
      </c>
      <c r="AT430" s="1">
        <f>SUM(AK431:AK436)</f>
        <v>0</v>
      </c>
      <c r="AU430" s="1">
        <f>SUM(AL431:AL436)</f>
        <v>0</v>
      </c>
    </row>
    <row r="431" spans="1:76" ht="14.35" x14ac:dyDescent="0.5">
      <c r="A431" s="2" t="s">
        <v>909</v>
      </c>
      <c r="B431" s="3" t="s">
        <v>49</v>
      </c>
      <c r="C431" s="3" t="s">
        <v>910</v>
      </c>
      <c r="D431" s="72" t="s">
        <v>911</v>
      </c>
      <c r="E431" s="73"/>
      <c r="F431" s="3" t="s">
        <v>179</v>
      </c>
      <c r="G431" s="31">
        <v>6</v>
      </c>
      <c r="H431" s="71"/>
      <c r="I431" s="32" t="s">
        <v>56</v>
      </c>
      <c r="J431" s="31">
        <f>G431*AO431</f>
        <v>0</v>
      </c>
      <c r="K431" s="31">
        <f>G431*AP431</f>
        <v>0</v>
      </c>
      <c r="L431" s="31">
        <f>G431*H431</f>
        <v>0</v>
      </c>
      <c r="M431" s="31">
        <f>L431*(1+BW431/100)</f>
        <v>0</v>
      </c>
      <c r="N431" s="31">
        <v>1.17E-3</v>
      </c>
      <c r="O431" s="31">
        <f>G431*N431</f>
        <v>7.0200000000000002E-3</v>
      </c>
      <c r="P431" s="33" t="s">
        <v>57</v>
      </c>
      <c r="Z431" s="31">
        <f>IF(AQ431="5",BJ431,0)</f>
        <v>0</v>
      </c>
      <c r="AB431" s="31">
        <f>IF(AQ431="1",BH431,0)</f>
        <v>0</v>
      </c>
      <c r="AC431" s="31">
        <f>IF(AQ431="1",BI431,0)</f>
        <v>0</v>
      </c>
      <c r="AD431" s="31">
        <f>IF(AQ431="7",BH431,0)</f>
        <v>0</v>
      </c>
      <c r="AE431" s="31">
        <f>IF(AQ431="7",BI431,0)</f>
        <v>0</v>
      </c>
      <c r="AF431" s="31">
        <f>IF(AQ431="2",BH431,0)</f>
        <v>0</v>
      </c>
      <c r="AG431" s="31">
        <f>IF(AQ431="2",BI431,0)</f>
        <v>0</v>
      </c>
      <c r="AH431" s="31">
        <f>IF(AQ431="0",BJ431,0)</f>
        <v>0</v>
      </c>
      <c r="AI431" s="12" t="s">
        <v>49</v>
      </c>
      <c r="AJ431" s="31">
        <f>IF(AN431=0,L431,0)</f>
        <v>0</v>
      </c>
      <c r="AK431" s="31">
        <f>IF(AN431=12,L431,0)</f>
        <v>0</v>
      </c>
      <c r="AL431" s="31">
        <f>IF(AN431=21,L431,0)</f>
        <v>0</v>
      </c>
      <c r="AN431" s="31">
        <v>21</v>
      </c>
      <c r="AO431" s="31">
        <f>H431*0.434277372</f>
        <v>0</v>
      </c>
      <c r="AP431" s="31">
        <f>H431*(1-0.434277372)</f>
        <v>0</v>
      </c>
      <c r="AQ431" s="32" t="s">
        <v>91</v>
      </c>
      <c r="AV431" s="31">
        <f>AW431+AX431</f>
        <v>0</v>
      </c>
      <c r="AW431" s="31">
        <f>G431*AO431</f>
        <v>0</v>
      </c>
      <c r="AX431" s="31">
        <f>G431*AP431</f>
        <v>0</v>
      </c>
      <c r="AY431" s="32" t="s">
        <v>912</v>
      </c>
      <c r="AZ431" s="32" t="s">
        <v>461</v>
      </c>
      <c r="BA431" s="12" t="s">
        <v>60</v>
      </c>
      <c r="BC431" s="31">
        <f>AW431+AX431</f>
        <v>0</v>
      </c>
      <c r="BD431" s="31">
        <f>H431/(100-BE431)*100</f>
        <v>0</v>
      </c>
      <c r="BE431" s="31">
        <v>0</v>
      </c>
      <c r="BF431" s="31">
        <f>O431</f>
        <v>7.0200000000000002E-3</v>
      </c>
      <c r="BH431" s="31">
        <f>G431*AO431</f>
        <v>0</v>
      </c>
      <c r="BI431" s="31">
        <f>G431*AP431</f>
        <v>0</v>
      </c>
      <c r="BJ431" s="31">
        <f>G431*H431</f>
        <v>0</v>
      </c>
      <c r="BK431" s="31"/>
      <c r="BL431" s="31">
        <v>766</v>
      </c>
      <c r="BW431" s="31" t="str">
        <f>I431</f>
        <v>21</v>
      </c>
      <c r="BX431" s="4" t="s">
        <v>911</v>
      </c>
    </row>
    <row r="432" spans="1:76" ht="14.35" x14ac:dyDescent="0.5">
      <c r="A432" s="34"/>
      <c r="D432" s="35" t="s">
        <v>913</v>
      </c>
      <c r="E432" s="35" t="s">
        <v>435</v>
      </c>
      <c r="G432" s="36">
        <v>6</v>
      </c>
      <c r="P432" s="37"/>
    </row>
    <row r="433" spans="1:76" ht="14.35" x14ac:dyDescent="0.5">
      <c r="A433" s="2" t="s">
        <v>914</v>
      </c>
      <c r="B433" s="3" t="s">
        <v>49</v>
      </c>
      <c r="C433" s="3" t="s">
        <v>915</v>
      </c>
      <c r="D433" s="72" t="s">
        <v>916</v>
      </c>
      <c r="E433" s="73"/>
      <c r="F433" s="3" t="s">
        <v>179</v>
      </c>
      <c r="G433" s="31">
        <v>1</v>
      </c>
      <c r="H433" s="71"/>
      <c r="I433" s="32" t="s">
        <v>56</v>
      </c>
      <c r="J433" s="31">
        <f>G433*AO433</f>
        <v>0</v>
      </c>
      <c r="K433" s="31">
        <f>G433*AP433</f>
        <v>0</v>
      </c>
      <c r="L433" s="31">
        <f>G433*H433</f>
        <v>0</v>
      </c>
      <c r="M433" s="31">
        <f>L433*(1+BW433/100)</f>
        <v>0</v>
      </c>
      <c r="N433" s="31">
        <v>0</v>
      </c>
      <c r="O433" s="31">
        <f>G433*N433</f>
        <v>0</v>
      </c>
      <c r="P433" s="33" t="s">
        <v>57</v>
      </c>
      <c r="Z433" s="31">
        <f>IF(AQ433="5",BJ433,0)</f>
        <v>0</v>
      </c>
      <c r="AB433" s="31">
        <f>IF(AQ433="1",BH433,0)</f>
        <v>0</v>
      </c>
      <c r="AC433" s="31">
        <f>IF(AQ433="1",BI433,0)</f>
        <v>0</v>
      </c>
      <c r="AD433" s="31">
        <f>IF(AQ433="7",BH433,0)</f>
        <v>0</v>
      </c>
      <c r="AE433" s="31">
        <f>IF(AQ433="7",BI433,0)</f>
        <v>0</v>
      </c>
      <c r="AF433" s="31">
        <f>IF(AQ433="2",BH433,0)</f>
        <v>0</v>
      </c>
      <c r="AG433" s="31">
        <f>IF(AQ433="2",BI433,0)</f>
        <v>0</v>
      </c>
      <c r="AH433" s="31">
        <f>IF(AQ433="0",BJ433,0)</f>
        <v>0</v>
      </c>
      <c r="AI433" s="12" t="s">
        <v>49</v>
      </c>
      <c r="AJ433" s="31">
        <f>IF(AN433=0,L433,0)</f>
        <v>0</v>
      </c>
      <c r="AK433" s="31">
        <f>IF(AN433=12,L433,0)</f>
        <v>0</v>
      </c>
      <c r="AL433" s="31">
        <f>IF(AN433=21,L433,0)</f>
        <v>0</v>
      </c>
      <c r="AN433" s="31">
        <v>21</v>
      </c>
      <c r="AO433" s="31">
        <f>H433*0</f>
        <v>0</v>
      </c>
      <c r="AP433" s="31">
        <f>H433*(1-0)</f>
        <v>0</v>
      </c>
      <c r="AQ433" s="32" t="s">
        <v>91</v>
      </c>
      <c r="AV433" s="31">
        <f>AW433+AX433</f>
        <v>0</v>
      </c>
      <c r="AW433" s="31">
        <f>G433*AO433</f>
        <v>0</v>
      </c>
      <c r="AX433" s="31">
        <f>G433*AP433</f>
        <v>0</v>
      </c>
      <c r="AY433" s="32" t="s">
        <v>912</v>
      </c>
      <c r="AZ433" s="32" t="s">
        <v>461</v>
      </c>
      <c r="BA433" s="12" t="s">
        <v>60</v>
      </c>
      <c r="BC433" s="31">
        <f>AW433+AX433</f>
        <v>0</v>
      </c>
      <c r="BD433" s="31">
        <f>H433/(100-BE433)*100</f>
        <v>0</v>
      </c>
      <c r="BE433" s="31">
        <v>0</v>
      </c>
      <c r="BF433" s="31">
        <f>O433</f>
        <v>0</v>
      </c>
      <c r="BH433" s="31">
        <f>G433*AO433</f>
        <v>0</v>
      </c>
      <c r="BI433" s="31">
        <f>G433*AP433</f>
        <v>0</v>
      </c>
      <c r="BJ433" s="31">
        <f>G433*H433</f>
        <v>0</v>
      </c>
      <c r="BK433" s="31"/>
      <c r="BL433" s="31">
        <v>766</v>
      </c>
      <c r="BW433" s="31" t="str">
        <f>I433</f>
        <v>21</v>
      </c>
      <c r="BX433" s="4" t="s">
        <v>916</v>
      </c>
    </row>
    <row r="434" spans="1:76" ht="14.35" x14ac:dyDescent="0.5">
      <c r="A434" s="34"/>
      <c r="D434" s="35" t="s">
        <v>52</v>
      </c>
      <c r="E434" s="35" t="s">
        <v>439</v>
      </c>
      <c r="G434" s="36">
        <v>1</v>
      </c>
      <c r="P434" s="37"/>
    </row>
    <row r="435" spans="1:76" ht="14.35" x14ac:dyDescent="0.5">
      <c r="A435" s="2" t="s">
        <v>917</v>
      </c>
      <c r="B435" s="3" t="s">
        <v>49</v>
      </c>
      <c r="C435" s="3" t="s">
        <v>918</v>
      </c>
      <c r="D435" s="72" t="s">
        <v>919</v>
      </c>
      <c r="E435" s="73"/>
      <c r="F435" s="3" t="s">
        <v>179</v>
      </c>
      <c r="G435" s="31">
        <v>1</v>
      </c>
      <c r="H435" s="71"/>
      <c r="I435" s="32" t="s">
        <v>56</v>
      </c>
      <c r="J435" s="31">
        <f>G435*AO435</f>
        <v>0</v>
      </c>
      <c r="K435" s="31">
        <f>G435*AP435</f>
        <v>0</v>
      </c>
      <c r="L435" s="31">
        <f>G435*H435</f>
        <v>0</v>
      </c>
      <c r="M435" s="31">
        <f>L435*(1+BW435/100)</f>
        <v>0</v>
      </c>
      <c r="N435" s="31">
        <v>0</v>
      </c>
      <c r="O435" s="31">
        <f>G435*N435</f>
        <v>0</v>
      </c>
      <c r="P435" s="33" t="s">
        <v>57</v>
      </c>
      <c r="Z435" s="31">
        <f>IF(AQ435="5",BJ435,0)</f>
        <v>0</v>
      </c>
      <c r="AB435" s="31">
        <f>IF(AQ435="1",BH435,0)</f>
        <v>0</v>
      </c>
      <c r="AC435" s="31">
        <f>IF(AQ435="1",BI435,0)</f>
        <v>0</v>
      </c>
      <c r="AD435" s="31">
        <f>IF(AQ435="7",BH435,0)</f>
        <v>0</v>
      </c>
      <c r="AE435" s="31">
        <f>IF(AQ435="7",BI435,0)</f>
        <v>0</v>
      </c>
      <c r="AF435" s="31">
        <f>IF(AQ435="2",BH435,0)</f>
        <v>0</v>
      </c>
      <c r="AG435" s="31">
        <f>IF(AQ435="2",BI435,0)</f>
        <v>0</v>
      </c>
      <c r="AH435" s="31">
        <f>IF(AQ435="0",BJ435,0)</f>
        <v>0</v>
      </c>
      <c r="AI435" s="12" t="s">
        <v>49</v>
      </c>
      <c r="AJ435" s="31">
        <f>IF(AN435=0,L435,0)</f>
        <v>0</v>
      </c>
      <c r="AK435" s="31">
        <f>IF(AN435=12,L435,0)</f>
        <v>0</v>
      </c>
      <c r="AL435" s="31">
        <f>IF(AN435=21,L435,0)</f>
        <v>0</v>
      </c>
      <c r="AN435" s="31">
        <v>21</v>
      </c>
      <c r="AO435" s="31">
        <f>H435*0</f>
        <v>0</v>
      </c>
      <c r="AP435" s="31">
        <f>H435*(1-0)</f>
        <v>0</v>
      </c>
      <c r="AQ435" s="32" t="s">
        <v>91</v>
      </c>
      <c r="AV435" s="31">
        <f>AW435+AX435</f>
        <v>0</v>
      </c>
      <c r="AW435" s="31">
        <f>G435*AO435</f>
        <v>0</v>
      </c>
      <c r="AX435" s="31">
        <f>G435*AP435</f>
        <v>0</v>
      </c>
      <c r="AY435" s="32" t="s">
        <v>912</v>
      </c>
      <c r="AZ435" s="32" t="s">
        <v>461</v>
      </c>
      <c r="BA435" s="12" t="s">
        <v>60</v>
      </c>
      <c r="BC435" s="31">
        <f>AW435+AX435</f>
        <v>0</v>
      </c>
      <c r="BD435" s="31">
        <f>H435/(100-BE435)*100</f>
        <v>0</v>
      </c>
      <c r="BE435" s="31">
        <v>0</v>
      </c>
      <c r="BF435" s="31">
        <f>O435</f>
        <v>0</v>
      </c>
      <c r="BH435" s="31">
        <f>G435*AO435</f>
        <v>0</v>
      </c>
      <c r="BI435" s="31">
        <f>G435*AP435</f>
        <v>0</v>
      </c>
      <c r="BJ435" s="31">
        <f>G435*H435</f>
        <v>0</v>
      </c>
      <c r="BK435" s="31"/>
      <c r="BL435" s="31">
        <v>766</v>
      </c>
      <c r="BW435" s="31" t="str">
        <f>I435</f>
        <v>21</v>
      </c>
      <c r="BX435" s="4" t="s">
        <v>919</v>
      </c>
    </row>
    <row r="436" spans="1:76" ht="14.35" x14ac:dyDescent="0.5">
      <c r="A436" s="2" t="s">
        <v>920</v>
      </c>
      <c r="B436" s="3" t="s">
        <v>49</v>
      </c>
      <c r="C436" s="3" t="s">
        <v>921</v>
      </c>
      <c r="D436" s="72" t="s">
        <v>922</v>
      </c>
      <c r="E436" s="73"/>
      <c r="F436" s="3" t="s">
        <v>125</v>
      </c>
      <c r="G436" s="31">
        <v>9.49</v>
      </c>
      <c r="H436" s="71"/>
      <c r="I436" s="32" t="s">
        <v>56</v>
      </c>
      <c r="J436" s="31">
        <f>G436*AO436</f>
        <v>0</v>
      </c>
      <c r="K436" s="31">
        <f>G436*AP436</f>
        <v>0</v>
      </c>
      <c r="L436" s="31">
        <f>G436*H436</f>
        <v>0</v>
      </c>
      <c r="M436" s="31">
        <f>L436*(1+BW436/100)</f>
        <v>0</v>
      </c>
      <c r="N436" s="31">
        <v>0</v>
      </c>
      <c r="O436" s="31">
        <f>G436*N436</f>
        <v>0</v>
      </c>
      <c r="P436" s="33" t="s">
        <v>395</v>
      </c>
      <c r="Z436" s="31">
        <f>IF(AQ436="5",BJ436,0)</f>
        <v>0</v>
      </c>
      <c r="AB436" s="31">
        <f>IF(AQ436="1",BH436,0)</f>
        <v>0</v>
      </c>
      <c r="AC436" s="31">
        <f>IF(AQ436="1",BI436,0)</f>
        <v>0</v>
      </c>
      <c r="AD436" s="31">
        <f>IF(AQ436="7",BH436,0)</f>
        <v>0</v>
      </c>
      <c r="AE436" s="31">
        <f>IF(AQ436="7",BI436,0)</f>
        <v>0</v>
      </c>
      <c r="AF436" s="31">
        <f>IF(AQ436="2",BH436,0)</f>
        <v>0</v>
      </c>
      <c r="AG436" s="31">
        <f>IF(AQ436="2",BI436,0)</f>
        <v>0</v>
      </c>
      <c r="AH436" s="31">
        <f>IF(AQ436="0",BJ436,0)</f>
        <v>0</v>
      </c>
      <c r="AI436" s="12" t="s">
        <v>49</v>
      </c>
      <c r="AJ436" s="31">
        <f>IF(AN436=0,L436,0)</f>
        <v>0</v>
      </c>
      <c r="AK436" s="31">
        <f>IF(AN436=12,L436,0)</f>
        <v>0</v>
      </c>
      <c r="AL436" s="31">
        <f>IF(AN436=21,L436,0)</f>
        <v>0</v>
      </c>
      <c r="AN436" s="31">
        <v>21</v>
      </c>
      <c r="AO436" s="31">
        <f>H436*0.422654269</f>
        <v>0</v>
      </c>
      <c r="AP436" s="31">
        <f>H436*(1-0.422654269)</f>
        <v>0</v>
      </c>
      <c r="AQ436" s="32" t="s">
        <v>91</v>
      </c>
      <c r="AV436" s="31">
        <f>AW436+AX436</f>
        <v>0</v>
      </c>
      <c r="AW436" s="31">
        <f>G436*AO436</f>
        <v>0</v>
      </c>
      <c r="AX436" s="31">
        <f>G436*AP436</f>
        <v>0</v>
      </c>
      <c r="AY436" s="32" t="s">
        <v>912</v>
      </c>
      <c r="AZ436" s="32" t="s">
        <v>461</v>
      </c>
      <c r="BA436" s="12" t="s">
        <v>60</v>
      </c>
      <c r="BC436" s="31">
        <f>AW436+AX436</f>
        <v>0</v>
      </c>
      <c r="BD436" s="31">
        <f>H436/(100-BE436)*100</f>
        <v>0</v>
      </c>
      <c r="BE436" s="31">
        <v>0</v>
      </c>
      <c r="BF436" s="31">
        <f>O436</f>
        <v>0</v>
      </c>
      <c r="BH436" s="31">
        <f>G436*AO436</f>
        <v>0</v>
      </c>
      <c r="BI436" s="31">
        <f>G436*AP436</f>
        <v>0</v>
      </c>
      <c r="BJ436" s="31">
        <f>G436*H436</f>
        <v>0</v>
      </c>
      <c r="BK436" s="31"/>
      <c r="BL436" s="31">
        <v>766</v>
      </c>
      <c r="BW436" s="31" t="str">
        <f>I436</f>
        <v>21</v>
      </c>
      <c r="BX436" s="4" t="s">
        <v>922</v>
      </c>
    </row>
    <row r="437" spans="1:76" ht="14.35" x14ac:dyDescent="0.5">
      <c r="A437" s="34"/>
      <c r="D437" s="35" t="s">
        <v>923</v>
      </c>
      <c r="E437" s="35" t="s">
        <v>924</v>
      </c>
      <c r="G437" s="36">
        <v>7.89</v>
      </c>
      <c r="P437" s="37"/>
    </row>
    <row r="438" spans="1:76" ht="14.35" x14ac:dyDescent="0.5">
      <c r="A438" s="34"/>
      <c r="D438" s="35" t="s">
        <v>925</v>
      </c>
      <c r="E438" s="35" t="s">
        <v>926</v>
      </c>
      <c r="G438" s="36">
        <v>1.6</v>
      </c>
      <c r="P438" s="37"/>
    </row>
    <row r="439" spans="1:76" ht="14.35" x14ac:dyDescent="0.5">
      <c r="A439" s="38" t="s">
        <v>49</v>
      </c>
      <c r="B439" s="39" t="s">
        <v>49</v>
      </c>
      <c r="C439" s="39" t="s">
        <v>927</v>
      </c>
      <c r="D439" s="126" t="s">
        <v>928</v>
      </c>
      <c r="E439" s="127"/>
      <c r="F439" s="40" t="s">
        <v>3</v>
      </c>
      <c r="G439" s="40" t="s">
        <v>3</v>
      </c>
      <c r="H439" s="40" t="s">
        <v>3</v>
      </c>
      <c r="I439" s="40" t="s">
        <v>3</v>
      </c>
      <c r="J439" s="1">
        <f>SUM(J440:J448)</f>
        <v>0</v>
      </c>
      <c r="K439" s="1">
        <f>SUM(K440:K448)</f>
        <v>0</v>
      </c>
      <c r="L439" s="1">
        <f>SUM(L440:L448)</f>
        <v>0</v>
      </c>
      <c r="M439" s="1">
        <f>SUM(M440:M448)</f>
        <v>0</v>
      </c>
      <c r="N439" s="12" t="s">
        <v>49</v>
      </c>
      <c r="O439" s="1">
        <f>SUM(O440:O448)</f>
        <v>1.0345199999999999E-2</v>
      </c>
      <c r="P439" s="41" t="s">
        <v>49</v>
      </c>
      <c r="AI439" s="12" t="s">
        <v>49</v>
      </c>
      <c r="AS439" s="1">
        <f>SUM(AJ440:AJ448)</f>
        <v>0</v>
      </c>
      <c r="AT439" s="1">
        <f>SUM(AK440:AK448)</f>
        <v>0</v>
      </c>
      <c r="AU439" s="1">
        <f>SUM(AL440:AL448)</f>
        <v>0</v>
      </c>
    </row>
    <row r="440" spans="1:76" ht="14.35" x14ac:dyDescent="0.5">
      <c r="A440" s="2" t="s">
        <v>929</v>
      </c>
      <c r="B440" s="3" t="s">
        <v>49</v>
      </c>
      <c r="C440" s="3" t="s">
        <v>930</v>
      </c>
      <c r="D440" s="72" t="s">
        <v>931</v>
      </c>
      <c r="E440" s="73"/>
      <c r="F440" s="3" t="s">
        <v>125</v>
      </c>
      <c r="G440" s="31">
        <v>4.1399999999999997</v>
      </c>
      <c r="H440" s="71"/>
      <c r="I440" s="32" t="s">
        <v>56</v>
      </c>
      <c r="J440" s="31">
        <f>G440*AO440</f>
        <v>0</v>
      </c>
      <c r="K440" s="31">
        <f>G440*AP440</f>
        <v>0</v>
      </c>
      <c r="L440" s="31">
        <f>G440*H440</f>
        <v>0</v>
      </c>
      <c r="M440" s="31">
        <f>L440*(1+BW440/100)</f>
        <v>0</v>
      </c>
      <c r="N440" s="31">
        <v>1.2E-4</v>
      </c>
      <c r="O440" s="31">
        <f>G440*N440</f>
        <v>4.9679999999999993E-4</v>
      </c>
      <c r="P440" s="33" t="s">
        <v>57</v>
      </c>
      <c r="Z440" s="31">
        <f>IF(AQ440="5",BJ440,0)</f>
        <v>0</v>
      </c>
      <c r="AB440" s="31">
        <f>IF(AQ440="1",BH440,0)</f>
        <v>0</v>
      </c>
      <c r="AC440" s="31">
        <f>IF(AQ440="1",BI440,0)</f>
        <v>0</v>
      </c>
      <c r="AD440" s="31">
        <f>IF(AQ440="7",BH440,0)</f>
        <v>0</v>
      </c>
      <c r="AE440" s="31">
        <f>IF(AQ440="7",BI440,0)</f>
        <v>0</v>
      </c>
      <c r="AF440" s="31">
        <f>IF(AQ440="2",BH440,0)</f>
        <v>0</v>
      </c>
      <c r="AG440" s="31">
        <f>IF(AQ440="2",BI440,0)</f>
        <v>0</v>
      </c>
      <c r="AH440" s="31">
        <f>IF(AQ440="0",BJ440,0)</f>
        <v>0</v>
      </c>
      <c r="AI440" s="12" t="s">
        <v>49</v>
      </c>
      <c r="AJ440" s="31">
        <f>IF(AN440=0,L440,0)</f>
        <v>0</v>
      </c>
      <c r="AK440" s="31">
        <f>IF(AN440=12,L440,0)</f>
        <v>0</v>
      </c>
      <c r="AL440" s="31">
        <f>IF(AN440=21,L440,0)</f>
        <v>0</v>
      </c>
      <c r="AN440" s="31">
        <v>21</v>
      </c>
      <c r="AO440" s="31">
        <f>H440*0.108654545</f>
        <v>0</v>
      </c>
      <c r="AP440" s="31">
        <f>H440*(1-0.108654545)</f>
        <v>0</v>
      </c>
      <c r="AQ440" s="32" t="s">
        <v>91</v>
      </c>
      <c r="AV440" s="31">
        <f>AW440+AX440</f>
        <v>0</v>
      </c>
      <c r="AW440" s="31">
        <f>G440*AO440</f>
        <v>0</v>
      </c>
      <c r="AX440" s="31">
        <f>G440*AP440</f>
        <v>0</v>
      </c>
      <c r="AY440" s="32" t="s">
        <v>932</v>
      </c>
      <c r="AZ440" s="32" t="s">
        <v>461</v>
      </c>
      <c r="BA440" s="12" t="s">
        <v>60</v>
      </c>
      <c r="BC440" s="31">
        <f>AW440+AX440</f>
        <v>0</v>
      </c>
      <c r="BD440" s="31">
        <f>H440/(100-BE440)*100</f>
        <v>0</v>
      </c>
      <c r="BE440" s="31">
        <v>0</v>
      </c>
      <c r="BF440" s="31">
        <f>O440</f>
        <v>4.9679999999999993E-4</v>
      </c>
      <c r="BH440" s="31">
        <f>G440*AO440</f>
        <v>0</v>
      </c>
      <c r="BI440" s="31">
        <f>G440*AP440</f>
        <v>0</v>
      </c>
      <c r="BJ440" s="31">
        <f>G440*H440</f>
        <v>0</v>
      </c>
      <c r="BK440" s="31"/>
      <c r="BL440" s="31">
        <v>767</v>
      </c>
      <c r="BW440" s="31" t="str">
        <f>I440</f>
        <v>21</v>
      </c>
      <c r="BX440" s="4" t="s">
        <v>931</v>
      </c>
    </row>
    <row r="441" spans="1:76" ht="14.35" x14ac:dyDescent="0.5">
      <c r="A441" s="34"/>
      <c r="D441" s="35" t="s">
        <v>933</v>
      </c>
      <c r="E441" s="35" t="s">
        <v>934</v>
      </c>
      <c r="G441" s="36">
        <v>2.0699999999999998</v>
      </c>
      <c r="P441" s="37"/>
    </row>
    <row r="442" spans="1:76" ht="14.35" x14ac:dyDescent="0.5">
      <c r="A442" s="34"/>
      <c r="D442" s="35" t="s">
        <v>933</v>
      </c>
      <c r="E442" s="35" t="s">
        <v>935</v>
      </c>
      <c r="G442" s="36">
        <v>2.0699999999999998</v>
      </c>
      <c r="P442" s="37"/>
    </row>
    <row r="443" spans="1:76" ht="14.35" x14ac:dyDescent="0.5">
      <c r="A443" s="2" t="s">
        <v>936</v>
      </c>
      <c r="B443" s="3" t="s">
        <v>49</v>
      </c>
      <c r="C443" s="3" t="s">
        <v>937</v>
      </c>
      <c r="D443" s="72" t="s">
        <v>938</v>
      </c>
      <c r="E443" s="73"/>
      <c r="F443" s="3" t="s">
        <v>131</v>
      </c>
      <c r="G443" s="31">
        <v>8.64</v>
      </c>
      <c r="H443" s="71"/>
      <c r="I443" s="32" t="s">
        <v>56</v>
      </c>
      <c r="J443" s="31">
        <f>G443*AO443</f>
        <v>0</v>
      </c>
      <c r="K443" s="31">
        <f>G443*AP443</f>
        <v>0</v>
      </c>
      <c r="L443" s="31">
        <f>G443*H443</f>
        <v>0</v>
      </c>
      <c r="M443" s="31">
        <f>L443*(1+BW443/100)</f>
        <v>0</v>
      </c>
      <c r="N443" s="31">
        <v>6.0000000000000002E-5</v>
      </c>
      <c r="O443" s="31">
        <f>G443*N443</f>
        <v>5.1840000000000002E-4</v>
      </c>
      <c r="P443" s="33" t="s">
        <v>57</v>
      </c>
      <c r="Z443" s="31">
        <f>IF(AQ443="5",BJ443,0)</f>
        <v>0</v>
      </c>
      <c r="AB443" s="31">
        <f>IF(AQ443="1",BH443,0)</f>
        <v>0</v>
      </c>
      <c r="AC443" s="31">
        <f>IF(AQ443="1",BI443,0)</f>
        <v>0</v>
      </c>
      <c r="AD443" s="31">
        <f>IF(AQ443="7",BH443,0)</f>
        <v>0</v>
      </c>
      <c r="AE443" s="31">
        <f>IF(AQ443="7",BI443,0)</f>
        <v>0</v>
      </c>
      <c r="AF443" s="31">
        <f>IF(AQ443="2",BH443,0)</f>
        <v>0</v>
      </c>
      <c r="AG443" s="31">
        <f>IF(AQ443="2",BI443,0)</f>
        <v>0</v>
      </c>
      <c r="AH443" s="31">
        <f>IF(AQ443="0",BJ443,0)</f>
        <v>0</v>
      </c>
      <c r="AI443" s="12" t="s">
        <v>49</v>
      </c>
      <c r="AJ443" s="31">
        <f>IF(AN443=0,L443,0)</f>
        <v>0</v>
      </c>
      <c r="AK443" s="31">
        <f>IF(AN443=12,L443,0)</f>
        <v>0</v>
      </c>
      <c r="AL443" s="31">
        <f>IF(AN443=21,L443,0)</f>
        <v>0</v>
      </c>
      <c r="AN443" s="31">
        <v>21</v>
      </c>
      <c r="AO443" s="31">
        <f>H443*0.089803093</f>
        <v>0</v>
      </c>
      <c r="AP443" s="31">
        <f>H443*(1-0.089803093)</f>
        <v>0</v>
      </c>
      <c r="AQ443" s="32" t="s">
        <v>91</v>
      </c>
      <c r="AV443" s="31">
        <f>AW443+AX443</f>
        <v>0</v>
      </c>
      <c r="AW443" s="31">
        <f>G443*AO443</f>
        <v>0</v>
      </c>
      <c r="AX443" s="31">
        <f>G443*AP443</f>
        <v>0</v>
      </c>
      <c r="AY443" s="32" t="s">
        <v>932</v>
      </c>
      <c r="AZ443" s="32" t="s">
        <v>461</v>
      </c>
      <c r="BA443" s="12" t="s">
        <v>60</v>
      </c>
      <c r="BC443" s="31">
        <f>AW443+AX443</f>
        <v>0</v>
      </c>
      <c r="BD443" s="31">
        <f>H443/(100-BE443)*100</f>
        <v>0</v>
      </c>
      <c r="BE443" s="31">
        <v>0</v>
      </c>
      <c r="BF443" s="31">
        <f>O443</f>
        <v>5.1840000000000002E-4</v>
      </c>
      <c r="BH443" s="31">
        <f>G443*AO443</f>
        <v>0</v>
      </c>
      <c r="BI443" s="31">
        <f>G443*AP443</f>
        <v>0</v>
      </c>
      <c r="BJ443" s="31">
        <f>G443*H443</f>
        <v>0</v>
      </c>
      <c r="BK443" s="31"/>
      <c r="BL443" s="31">
        <v>767</v>
      </c>
      <c r="BW443" s="31" t="str">
        <f>I443</f>
        <v>21</v>
      </c>
      <c r="BX443" s="4" t="s">
        <v>938</v>
      </c>
    </row>
    <row r="444" spans="1:76" ht="14.35" x14ac:dyDescent="0.5">
      <c r="A444" s="34"/>
      <c r="D444" s="35" t="s">
        <v>939</v>
      </c>
      <c r="E444" s="35" t="s">
        <v>940</v>
      </c>
      <c r="G444" s="36">
        <v>8.64</v>
      </c>
      <c r="P444" s="37"/>
    </row>
    <row r="445" spans="1:76" ht="14.35" x14ac:dyDescent="0.5">
      <c r="A445" s="2" t="s">
        <v>941</v>
      </c>
      <c r="B445" s="3" t="s">
        <v>49</v>
      </c>
      <c r="C445" s="3" t="s">
        <v>942</v>
      </c>
      <c r="D445" s="72" t="s">
        <v>943</v>
      </c>
      <c r="E445" s="73"/>
      <c r="F445" s="3" t="s">
        <v>131</v>
      </c>
      <c r="G445" s="31">
        <v>9.33</v>
      </c>
      <c r="H445" s="71"/>
      <c r="I445" s="32" t="s">
        <v>56</v>
      </c>
      <c r="J445" s="31">
        <f>G445*AO445</f>
        <v>0</v>
      </c>
      <c r="K445" s="31">
        <f>G445*AP445</f>
        <v>0</v>
      </c>
      <c r="L445" s="31">
        <f>G445*H445</f>
        <v>0</v>
      </c>
      <c r="M445" s="31">
        <f>L445*(1+BW445/100)</f>
        <v>0</v>
      </c>
      <c r="N445" s="31">
        <v>1E-3</v>
      </c>
      <c r="O445" s="31">
        <f>G445*N445</f>
        <v>9.3299999999999998E-3</v>
      </c>
      <c r="P445" s="33" t="s">
        <v>57</v>
      </c>
      <c r="Z445" s="31">
        <f>IF(AQ445="5",BJ445,0)</f>
        <v>0</v>
      </c>
      <c r="AB445" s="31">
        <f>IF(AQ445="1",BH445,0)</f>
        <v>0</v>
      </c>
      <c r="AC445" s="31">
        <f>IF(AQ445="1",BI445,0)</f>
        <v>0</v>
      </c>
      <c r="AD445" s="31">
        <f>IF(AQ445="7",BH445,0)</f>
        <v>0</v>
      </c>
      <c r="AE445" s="31">
        <f>IF(AQ445="7",BI445,0)</f>
        <v>0</v>
      </c>
      <c r="AF445" s="31">
        <f>IF(AQ445="2",BH445,0)</f>
        <v>0</v>
      </c>
      <c r="AG445" s="31">
        <f>IF(AQ445="2",BI445,0)</f>
        <v>0</v>
      </c>
      <c r="AH445" s="31">
        <f>IF(AQ445="0",BJ445,0)</f>
        <v>0</v>
      </c>
      <c r="AI445" s="12" t="s">
        <v>49</v>
      </c>
      <c r="AJ445" s="31">
        <f>IF(AN445=0,L445,0)</f>
        <v>0</v>
      </c>
      <c r="AK445" s="31">
        <f>IF(AN445=12,L445,0)</f>
        <v>0</v>
      </c>
      <c r="AL445" s="31">
        <f>IF(AN445=21,L445,0)</f>
        <v>0</v>
      </c>
      <c r="AN445" s="31">
        <v>21</v>
      </c>
      <c r="AO445" s="31">
        <f>H445*1</f>
        <v>0</v>
      </c>
      <c r="AP445" s="31">
        <f>H445*(1-1)</f>
        <v>0</v>
      </c>
      <c r="AQ445" s="32" t="s">
        <v>91</v>
      </c>
      <c r="AV445" s="31">
        <f>AW445+AX445</f>
        <v>0</v>
      </c>
      <c r="AW445" s="31">
        <f>G445*AO445</f>
        <v>0</v>
      </c>
      <c r="AX445" s="31">
        <f>G445*AP445</f>
        <v>0</v>
      </c>
      <c r="AY445" s="32" t="s">
        <v>932</v>
      </c>
      <c r="AZ445" s="32" t="s">
        <v>461</v>
      </c>
      <c r="BA445" s="12" t="s">
        <v>60</v>
      </c>
      <c r="BC445" s="31">
        <f>AW445+AX445</f>
        <v>0</v>
      </c>
      <c r="BD445" s="31">
        <f>H445/(100-BE445)*100</f>
        <v>0</v>
      </c>
      <c r="BE445" s="31">
        <v>0</v>
      </c>
      <c r="BF445" s="31">
        <f>O445</f>
        <v>9.3299999999999998E-3</v>
      </c>
      <c r="BH445" s="31">
        <f>G445*AO445</f>
        <v>0</v>
      </c>
      <c r="BI445" s="31">
        <f>G445*AP445</f>
        <v>0</v>
      </c>
      <c r="BJ445" s="31">
        <f>G445*H445</f>
        <v>0</v>
      </c>
      <c r="BK445" s="31"/>
      <c r="BL445" s="31">
        <v>767</v>
      </c>
      <c r="BW445" s="31" t="str">
        <f>I445</f>
        <v>21</v>
      </c>
      <c r="BX445" s="4" t="s">
        <v>943</v>
      </c>
    </row>
    <row r="446" spans="1:76" ht="14.35" x14ac:dyDescent="0.5">
      <c r="A446" s="34"/>
      <c r="D446" s="35" t="s">
        <v>939</v>
      </c>
      <c r="E446" s="35" t="s">
        <v>49</v>
      </c>
      <c r="G446" s="36">
        <v>8.64</v>
      </c>
      <c r="P446" s="37"/>
    </row>
    <row r="447" spans="1:76" ht="14.35" x14ac:dyDescent="0.5">
      <c r="A447" s="34"/>
      <c r="D447" s="35" t="s">
        <v>944</v>
      </c>
      <c r="E447" s="35" t="s">
        <v>49</v>
      </c>
      <c r="G447" s="36">
        <v>0.69</v>
      </c>
      <c r="P447" s="37"/>
    </row>
    <row r="448" spans="1:76" ht="14.35" x14ac:dyDescent="0.5">
      <c r="A448" s="2" t="s">
        <v>945</v>
      </c>
      <c r="B448" s="3" t="s">
        <v>49</v>
      </c>
      <c r="C448" s="3" t="s">
        <v>946</v>
      </c>
      <c r="D448" s="72" t="s">
        <v>947</v>
      </c>
      <c r="E448" s="73"/>
      <c r="F448" s="3" t="s">
        <v>290</v>
      </c>
      <c r="G448" s="31">
        <v>0.01</v>
      </c>
      <c r="H448" s="71"/>
      <c r="I448" s="32" t="s">
        <v>56</v>
      </c>
      <c r="J448" s="31">
        <f>G448*AO448</f>
        <v>0</v>
      </c>
      <c r="K448" s="31">
        <f>G448*AP448</f>
        <v>0</v>
      </c>
      <c r="L448" s="31">
        <f>G448*H448</f>
        <v>0</v>
      </c>
      <c r="M448" s="31">
        <f>L448*(1+BW448/100)</f>
        <v>0</v>
      </c>
      <c r="N448" s="31">
        <v>0</v>
      </c>
      <c r="O448" s="31">
        <f>G448*N448</f>
        <v>0</v>
      </c>
      <c r="P448" s="33" t="s">
        <v>57</v>
      </c>
      <c r="Z448" s="31">
        <f>IF(AQ448="5",BJ448,0)</f>
        <v>0</v>
      </c>
      <c r="AB448" s="31">
        <f>IF(AQ448="1",BH448,0)</f>
        <v>0</v>
      </c>
      <c r="AC448" s="31">
        <f>IF(AQ448="1",BI448,0)</f>
        <v>0</v>
      </c>
      <c r="AD448" s="31">
        <f>IF(AQ448="7",BH448,0)</f>
        <v>0</v>
      </c>
      <c r="AE448" s="31">
        <f>IF(AQ448="7",BI448,0)</f>
        <v>0</v>
      </c>
      <c r="AF448" s="31">
        <f>IF(AQ448="2",BH448,0)</f>
        <v>0</v>
      </c>
      <c r="AG448" s="31">
        <f>IF(AQ448="2",BI448,0)</f>
        <v>0</v>
      </c>
      <c r="AH448" s="31">
        <f>IF(AQ448="0",BJ448,0)</f>
        <v>0</v>
      </c>
      <c r="AI448" s="12" t="s">
        <v>49</v>
      </c>
      <c r="AJ448" s="31">
        <f>IF(AN448=0,L448,0)</f>
        <v>0</v>
      </c>
      <c r="AK448" s="31">
        <f>IF(AN448=12,L448,0)</f>
        <v>0</v>
      </c>
      <c r="AL448" s="31">
        <f>IF(AN448=21,L448,0)</f>
        <v>0</v>
      </c>
      <c r="AN448" s="31">
        <v>21</v>
      </c>
      <c r="AO448" s="31">
        <f>H448*0</f>
        <v>0</v>
      </c>
      <c r="AP448" s="31">
        <f>H448*(1-0)</f>
        <v>0</v>
      </c>
      <c r="AQ448" s="32" t="s">
        <v>81</v>
      </c>
      <c r="AV448" s="31">
        <f>AW448+AX448</f>
        <v>0</v>
      </c>
      <c r="AW448" s="31">
        <f>G448*AO448</f>
        <v>0</v>
      </c>
      <c r="AX448" s="31">
        <f>G448*AP448</f>
        <v>0</v>
      </c>
      <c r="AY448" s="32" t="s">
        <v>932</v>
      </c>
      <c r="AZ448" s="32" t="s">
        <v>461</v>
      </c>
      <c r="BA448" s="12" t="s">
        <v>60</v>
      </c>
      <c r="BC448" s="31">
        <f>AW448+AX448</f>
        <v>0</v>
      </c>
      <c r="BD448" s="31">
        <f>H448/(100-BE448)*100</f>
        <v>0</v>
      </c>
      <c r="BE448" s="31">
        <v>0</v>
      </c>
      <c r="BF448" s="31">
        <f>O448</f>
        <v>0</v>
      </c>
      <c r="BH448" s="31">
        <f>G448*AO448</f>
        <v>0</v>
      </c>
      <c r="BI448" s="31">
        <f>G448*AP448</f>
        <v>0</v>
      </c>
      <c r="BJ448" s="31">
        <f>G448*H448</f>
        <v>0</v>
      </c>
      <c r="BK448" s="31"/>
      <c r="BL448" s="31">
        <v>767</v>
      </c>
      <c r="BW448" s="31" t="str">
        <f>I448</f>
        <v>21</v>
      </c>
      <c r="BX448" s="4" t="s">
        <v>947</v>
      </c>
    </row>
    <row r="449" spans="1:76" ht="14.35" x14ac:dyDescent="0.5">
      <c r="A449" s="38" t="s">
        <v>49</v>
      </c>
      <c r="B449" s="39" t="s">
        <v>49</v>
      </c>
      <c r="C449" s="39" t="s">
        <v>948</v>
      </c>
      <c r="D449" s="126" t="s">
        <v>949</v>
      </c>
      <c r="E449" s="127"/>
      <c r="F449" s="40" t="s">
        <v>3</v>
      </c>
      <c r="G449" s="40" t="s">
        <v>3</v>
      </c>
      <c r="H449" s="40" t="s">
        <v>3</v>
      </c>
      <c r="I449" s="40" t="s">
        <v>3</v>
      </c>
      <c r="J449" s="1">
        <f>SUM(J450:J450)</f>
        <v>0</v>
      </c>
      <c r="K449" s="1">
        <f>SUM(K450:K450)</f>
        <v>0</v>
      </c>
      <c r="L449" s="1">
        <f>SUM(L450:L450)</f>
        <v>0</v>
      </c>
      <c r="M449" s="1">
        <f>SUM(M450:M450)</f>
        <v>0</v>
      </c>
      <c r="N449" s="12" t="s">
        <v>49</v>
      </c>
      <c r="O449" s="1">
        <f>SUM(O450:O450)</f>
        <v>0.85898240000000015</v>
      </c>
      <c r="P449" s="41" t="s">
        <v>49</v>
      </c>
      <c r="AI449" s="12" t="s">
        <v>49</v>
      </c>
      <c r="AS449" s="1">
        <f>SUM(AJ450:AJ450)</f>
        <v>0</v>
      </c>
      <c r="AT449" s="1">
        <f>SUM(AK450:AK450)</f>
        <v>0</v>
      </c>
      <c r="AU449" s="1">
        <f>SUM(AL450:AL450)</f>
        <v>0</v>
      </c>
    </row>
    <row r="450" spans="1:76" ht="14.35" x14ac:dyDescent="0.5">
      <c r="A450" s="2" t="s">
        <v>950</v>
      </c>
      <c r="B450" s="3" t="s">
        <v>49</v>
      </c>
      <c r="C450" s="3" t="s">
        <v>951</v>
      </c>
      <c r="D450" s="72" t="s">
        <v>952</v>
      </c>
      <c r="E450" s="73"/>
      <c r="F450" s="3" t="s">
        <v>125</v>
      </c>
      <c r="G450" s="31">
        <v>5368.64</v>
      </c>
      <c r="H450" s="71"/>
      <c r="I450" s="32" t="s">
        <v>56</v>
      </c>
      <c r="J450" s="31">
        <f>G450*AO450</f>
        <v>0</v>
      </c>
      <c r="K450" s="31">
        <f>G450*AP450</f>
        <v>0</v>
      </c>
      <c r="L450" s="31">
        <f>G450*H450</f>
        <v>0</v>
      </c>
      <c r="M450" s="31">
        <f>L450*(1+BW450/100)</f>
        <v>0</v>
      </c>
      <c r="N450" s="31">
        <v>1.6000000000000001E-4</v>
      </c>
      <c r="O450" s="31">
        <f>G450*N450</f>
        <v>0.85898240000000015</v>
      </c>
      <c r="P450" s="33" t="s">
        <v>57</v>
      </c>
      <c r="Z450" s="31">
        <f>IF(AQ450="5",BJ450,0)</f>
        <v>0</v>
      </c>
      <c r="AB450" s="31">
        <f>IF(AQ450="1",BH450,0)</f>
        <v>0</v>
      </c>
      <c r="AC450" s="31">
        <f>IF(AQ450="1",BI450,0)</f>
        <v>0</v>
      </c>
      <c r="AD450" s="31">
        <f>IF(AQ450="7",BH450,0)</f>
        <v>0</v>
      </c>
      <c r="AE450" s="31">
        <f>IF(AQ450="7",BI450,0)</f>
        <v>0</v>
      </c>
      <c r="AF450" s="31">
        <f>IF(AQ450="2",BH450,0)</f>
        <v>0</v>
      </c>
      <c r="AG450" s="31">
        <f>IF(AQ450="2",BI450,0)</f>
        <v>0</v>
      </c>
      <c r="AH450" s="31">
        <f>IF(AQ450="0",BJ450,0)</f>
        <v>0</v>
      </c>
      <c r="AI450" s="12" t="s">
        <v>49</v>
      </c>
      <c r="AJ450" s="31">
        <f>IF(AN450=0,L450,0)</f>
        <v>0</v>
      </c>
      <c r="AK450" s="31">
        <f>IF(AN450=12,L450,0)</f>
        <v>0</v>
      </c>
      <c r="AL450" s="31">
        <f>IF(AN450=21,L450,0)</f>
        <v>0</v>
      </c>
      <c r="AN450" s="31">
        <v>21</v>
      </c>
      <c r="AO450" s="31">
        <f>H450*0.10961039</f>
        <v>0</v>
      </c>
      <c r="AP450" s="31">
        <f>H450*(1-0.10961039)</f>
        <v>0</v>
      </c>
      <c r="AQ450" s="32" t="s">
        <v>91</v>
      </c>
      <c r="AV450" s="31">
        <f>AW450+AX450</f>
        <v>0</v>
      </c>
      <c r="AW450" s="31">
        <f>G450*AO450</f>
        <v>0</v>
      </c>
      <c r="AX450" s="31">
        <f>G450*AP450</f>
        <v>0</v>
      </c>
      <c r="AY450" s="32" t="s">
        <v>953</v>
      </c>
      <c r="AZ450" s="32" t="s">
        <v>954</v>
      </c>
      <c r="BA450" s="12" t="s">
        <v>60</v>
      </c>
      <c r="BC450" s="31">
        <f>AW450+AX450</f>
        <v>0</v>
      </c>
      <c r="BD450" s="31">
        <f>H450/(100-BE450)*100</f>
        <v>0</v>
      </c>
      <c r="BE450" s="31">
        <v>0</v>
      </c>
      <c r="BF450" s="31">
        <f>O450</f>
        <v>0.85898240000000015</v>
      </c>
      <c r="BH450" s="31">
        <f>G450*AO450</f>
        <v>0</v>
      </c>
      <c r="BI450" s="31">
        <f>G450*AP450</f>
        <v>0</v>
      </c>
      <c r="BJ450" s="31">
        <f>G450*H450</f>
        <v>0</v>
      </c>
      <c r="BK450" s="31"/>
      <c r="BL450" s="31">
        <v>783</v>
      </c>
      <c r="BW450" s="31" t="str">
        <f>I450</f>
        <v>21</v>
      </c>
      <c r="BX450" s="4" t="s">
        <v>952</v>
      </c>
    </row>
    <row r="451" spans="1:76" ht="14.35" x14ac:dyDescent="0.5">
      <c r="A451" s="34"/>
      <c r="D451" s="35" t="s">
        <v>955</v>
      </c>
      <c r="E451" s="35" t="s">
        <v>630</v>
      </c>
      <c r="G451" s="36">
        <v>43.1</v>
      </c>
      <c r="P451" s="37"/>
    </row>
    <row r="452" spans="1:76" ht="14.35" x14ac:dyDescent="0.5">
      <c r="A452" s="34"/>
      <c r="D452" s="35" t="s">
        <v>956</v>
      </c>
      <c r="E452" s="35" t="s">
        <v>636</v>
      </c>
      <c r="G452" s="36">
        <v>64.58</v>
      </c>
      <c r="P452" s="37"/>
    </row>
    <row r="453" spans="1:76" ht="14.35" x14ac:dyDescent="0.5">
      <c r="A453" s="34"/>
      <c r="D453" s="35" t="s">
        <v>957</v>
      </c>
      <c r="E453" s="35" t="s">
        <v>646</v>
      </c>
      <c r="G453" s="36">
        <v>323.68</v>
      </c>
      <c r="P453" s="37"/>
    </row>
    <row r="454" spans="1:76" ht="14.35" x14ac:dyDescent="0.5">
      <c r="A454" s="34"/>
      <c r="D454" s="35" t="s">
        <v>958</v>
      </c>
      <c r="E454" s="35" t="s">
        <v>722</v>
      </c>
      <c r="G454" s="36">
        <v>585.75</v>
      </c>
      <c r="P454" s="37"/>
    </row>
    <row r="455" spans="1:76" ht="14.35" x14ac:dyDescent="0.5">
      <c r="A455" s="34"/>
      <c r="D455" s="35" t="s">
        <v>959</v>
      </c>
      <c r="E455" s="35" t="s">
        <v>960</v>
      </c>
      <c r="G455" s="36">
        <v>297.5</v>
      </c>
      <c r="P455" s="37"/>
    </row>
    <row r="456" spans="1:76" ht="14.35" x14ac:dyDescent="0.5">
      <c r="A456" s="34"/>
      <c r="D456" s="35" t="s">
        <v>961</v>
      </c>
      <c r="E456" s="35" t="s">
        <v>614</v>
      </c>
      <c r="G456" s="36">
        <v>114.26</v>
      </c>
      <c r="P456" s="37"/>
    </row>
    <row r="457" spans="1:76" ht="14.35" x14ac:dyDescent="0.5">
      <c r="A457" s="34"/>
      <c r="D457" s="35" t="s">
        <v>962</v>
      </c>
      <c r="E457" s="35" t="s">
        <v>963</v>
      </c>
      <c r="G457" s="36">
        <v>36.119999999999997</v>
      </c>
      <c r="P457" s="37"/>
    </row>
    <row r="458" spans="1:76" ht="14.35" x14ac:dyDescent="0.5">
      <c r="A458" s="34"/>
      <c r="D458" s="35" t="s">
        <v>964</v>
      </c>
      <c r="E458" s="35" t="s">
        <v>609</v>
      </c>
      <c r="G458" s="36">
        <v>116.48</v>
      </c>
      <c r="P458" s="37"/>
    </row>
    <row r="459" spans="1:76" ht="14.35" x14ac:dyDescent="0.5">
      <c r="A459" s="34"/>
      <c r="D459" s="35" t="s">
        <v>965</v>
      </c>
      <c r="E459" s="35" t="s">
        <v>966</v>
      </c>
      <c r="G459" s="36">
        <v>81.06</v>
      </c>
      <c r="P459" s="37"/>
    </row>
    <row r="460" spans="1:76" ht="14.35" x14ac:dyDescent="0.5">
      <c r="A460" s="34"/>
      <c r="D460" s="35" t="s">
        <v>967</v>
      </c>
      <c r="E460" s="35" t="s">
        <v>968</v>
      </c>
      <c r="G460" s="36">
        <v>77.83</v>
      </c>
      <c r="P460" s="37"/>
    </row>
    <row r="461" spans="1:76" ht="14.35" x14ac:dyDescent="0.5">
      <c r="A461" s="34"/>
      <c r="D461" s="35" t="s">
        <v>969</v>
      </c>
      <c r="E461" s="35" t="s">
        <v>728</v>
      </c>
      <c r="G461" s="36">
        <v>50.44</v>
      </c>
      <c r="P461" s="37"/>
    </row>
    <row r="462" spans="1:76" ht="14.35" x14ac:dyDescent="0.5">
      <c r="A462" s="34"/>
      <c r="D462" s="35" t="s">
        <v>970</v>
      </c>
      <c r="E462" s="35" t="s">
        <v>730</v>
      </c>
      <c r="G462" s="36">
        <v>1101.23</v>
      </c>
      <c r="P462" s="37"/>
    </row>
    <row r="463" spans="1:76" ht="14.35" x14ac:dyDescent="0.5">
      <c r="A463" s="34"/>
      <c r="D463" s="35" t="s">
        <v>971</v>
      </c>
      <c r="E463" s="35" t="s">
        <v>972</v>
      </c>
      <c r="G463" s="36">
        <v>1050</v>
      </c>
      <c r="P463" s="37"/>
    </row>
    <row r="464" spans="1:76" ht="14.35" x14ac:dyDescent="0.5">
      <c r="A464" s="34"/>
      <c r="D464" s="35" t="s">
        <v>734</v>
      </c>
      <c r="E464" s="35" t="s">
        <v>973</v>
      </c>
      <c r="G464" s="36">
        <v>525</v>
      </c>
      <c r="P464" s="37"/>
    </row>
    <row r="465" spans="1:76" ht="14.35" x14ac:dyDescent="0.5">
      <c r="A465" s="34"/>
      <c r="D465" s="35" t="s">
        <v>974</v>
      </c>
      <c r="E465" s="35" t="s">
        <v>975</v>
      </c>
      <c r="G465" s="36">
        <v>375.95</v>
      </c>
      <c r="P465" s="37"/>
    </row>
    <row r="466" spans="1:76" ht="14.35" x14ac:dyDescent="0.5">
      <c r="A466" s="34"/>
      <c r="D466" s="35" t="s">
        <v>976</v>
      </c>
      <c r="E466" s="35" t="s">
        <v>977</v>
      </c>
      <c r="G466" s="36">
        <v>140.65</v>
      </c>
      <c r="P466" s="37"/>
    </row>
    <row r="467" spans="1:76" ht="14.35" x14ac:dyDescent="0.5">
      <c r="A467" s="34"/>
      <c r="D467" s="35" t="s">
        <v>978</v>
      </c>
      <c r="E467" s="35" t="s">
        <v>979</v>
      </c>
      <c r="G467" s="36">
        <v>12.69</v>
      </c>
      <c r="P467" s="37"/>
    </row>
    <row r="468" spans="1:76" ht="14.35" x14ac:dyDescent="0.5">
      <c r="A468" s="34"/>
      <c r="D468" s="35" t="s">
        <v>980</v>
      </c>
      <c r="E468" s="35" t="s">
        <v>981</v>
      </c>
      <c r="G468" s="36">
        <v>183.02</v>
      </c>
      <c r="P468" s="37"/>
    </row>
    <row r="469" spans="1:76" ht="14.35" x14ac:dyDescent="0.5">
      <c r="A469" s="34"/>
      <c r="D469" s="35" t="s">
        <v>982</v>
      </c>
      <c r="E469" s="35" t="s">
        <v>983</v>
      </c>
      <c r="G469" s="36">
        <v>13.78</v>
      </c>
      <c r="P469" s="37"/>
    </row>
    <row r="470" spans="1:76" ht="14.35" x14ac:dyDescent="0.5">
      <c r="A470" s="34"/>
      <c r="D470" s="35" t="s">
        <v>984</v>
      </c>
      <c r="E470" s="35" t="s">
        <v>985</v>
      </c>
      <c r="G470" s="36">
        <v>175.52</v>
      </c>
      <c r="P470" s="37"/>
    </row>
    <row r="471" spans="1:76" ht="14.35" x14ac:dyDescent="0.5">
      <c r="A471" s="38" t="s">
        <v>49</v>
      </c>
      <c r="B471" s="39" t="s">
        <v>49</v>
      </c>
      <c r="C471" s="39" t="s">
        <v>986</v>
      </c>
      <c r="D471" s="126" t="s">
        <v>987</v>
      </c>
      <c r="E471" s="127"/>
      <c r="F471" s="40" t="s">
        <v>3</v>
      </c>
      <c r="G471" s="40" t="s">
        <v>3</v>
      </c>
      <c r="H471" s="40" t="s">
        <v>3</v>
      </c>
      <c r="I471" s="40" t="s">
        <v>3</v>
      </c>
      <c r="J471" s="1">
        <f>SUM(J472:J477)</f>
        <v>0</v>
      </c>
      <c r="K471" s="1">
        <f>SUM(K472:K477)</f>
        <v>0</v>
      </c>
      <c r="L471" s="1">
        <f>SUM(L472:L477)</f>
        <v>0</v>
      </c>
      <c r="M471" s="1">
        <f>SUM(M472:M477)</f>
        <v>0</v>
      </c>
      <c r="N471" s="12" t="s">
        <v>49</v>
      </c>
      <c r="O471" s="1">
        <f>SUM(O472:O477)</f>
        <v>1.1091783</v>
      </c>
      <c r="P471" s="41" t="s">
        <v>49</v>
      </c>
      <c r="AI471" s="12" t="s">
        <v>49</v>
      </c>
      <c r="AS471" s="1">
        <f>SUM(AJ472:AJ477)</f>
        <v>0</v>
      </c>
      <c r="AT471" s="1">
        <f>SUM(AK472:AK477)</f>
        <v>0</v>
      </c>
      <c r="AU471" s="1">
        <f>SUM(AL472:AL477)</f>
        <v>0</v>
      </c>
    </row>
    <row r="472" spans="1:76" ht="14.35" x14ac:dyDescent="0.5">
      <c r="A472" s="2" t="s">
        <v>988</v>
      </c>
      <c r="B472" s="3" t="s">
        <v>49</v>
      </c>
      <c r="C472" s="3" t="s">
        <v>989</v>
      </c>
      <c r="D472" s="72" t="s">
        <v>990</v>
      </c>
      <c r="E472" s="73"/>
      <c r="F472" s="3" t="s">
        <v>125</v>
      </c>
      <c r="G472" s="31">
        <v>1655.49</v>
      </c>
      <c r="H472" s="71"/>
      <c r="I472" s="32" t="s">
        <v>56</v>
      </c>
      <c r="J472" s="31">
        <f>G472*AO472</f>
        <v>0</v>
      </c>
      <c r="K472" s="31">
        <f>G472*AP472</f>
        <v>0</v>
      </c>
      <c r="L472" s="31">
        <f>G472*H472</f>
        <v>0</v>
      </c>
      <c r="M472" s="31">
        <f>L472*(1+BW472/100)</f>
        <v>0</v>
      </c>
      <c r="N472" s="31">
        <v>6.7000000000000002E-4</v>
      </c>
      <c r="O472" s="31">
        <f>G472*N472</f>
        <v>1.1091783</v>
      </c>
      <c r="P472" s="33" t="s">
        <v>57</v>
      </c>
      <c r="Z472" s="31">
        <f>IF(AQ472="5",BJ472,0)</f>
        <v>0</v>
      </c>
      <c r="AB472" s="31">
        <f>IF(AQ472="1",BH472,0)</f>
        <v>0</v>
      </c>
      <c r="AC472" s="31">
        <f>IF(AQ472="1",BI472,0)</f>
        <v>0</v>
      </c>
      <c r="AD472" s="31">
        <f>IF(AQ472="7",BH472,0)</f>
        <v>0</v>
      </c>
      <c r="AE472" s="31">
        <f>IF(AQ472="7",BI472,0)</f>
        <v>0</v>
      </c>
      <c r="AF472" s="31">
        <f>IF(AQ472="2",BH472,0)</f>
        <v>0</v>
      </c>
      <c r="AG472" s="31">
        <f>IF(AQ472="2",BI472,0)</f>
        <v>0</v>
      </c>
      <c r="AH472" s="31">
        <f>IF(AQ472="0",BJ472,0)</f>
        <v>0</v>
      </c>
      <c r="AI472" s="12" t="s">
        <v>49</v>
      </c>
      <c r="AJ472" s="31">
        <f>IF(AN472=0,L472,0)</f>
        <v>0</v>
      </c>
      <c r="AK472" s="31">
        <f>IF(AN472=12,L472,0)</f>
        <v>0</v>
      </c>
      <c r="AL472" s="31">
        <f>IF(AN472=21,L472,0)</f>
        <v>0</v>
      </c>
      <c r="AN472" s="31">
        <v>21</v>
      </c>
      <c r="AO472" s="31">
        <f>H472*0.171561534</f>
        <v>0</v>
      </c>
      <c r="AP472" s="31">
        <f>H472*(1-0.171561534)</f>
        <v>0</v>
      </c>
      <c r="AQ472" s="32" t="s">
        <v>91</v>
      </c>
      <c r="AV472" s="31">
        <f>AW472+AX472</f>
        <v>0</v>
      </c>
      <c r="AW472" s="31">
        <f>G472*AO472</f>
        <v>0</v>
      </c>
      <c r="AX472" s="31">
        <f>G472*AP472</f>
        <v>0</v>
      </c>
      <c r="AY472" s="32" t="s">
        <v>991</v>
      </c>
      <c r="AZ472" s="32" t="s">
        <v>954</v>
      </c>
      <c r="BA472" s="12" t="s">
        <v>60</v>
      </c>
      <c r="BC472" s="31">
        <f>AW472+AX472</f>
        <v>0</v>
      </c>
      <c r="BD472" s="31">
        <f>H472/(100-BE472)*100</f>
        <v>0</v>
      </c>
      <c r="BE472" s="31">
        <v>0</v>
      </c>
      <c r="BF472" s="31">
        <f>O472</f>
        <v>1.1091783</v>
      </c>
      <c r="BH472" s="31">
        <f>G472*AO472</f>
        <v>0</v>
      </c>
      <c r="BI472" s="31">
        <f>G472*AP472</f>
        <v>0</v>
      </c>
      <c r="BJ472" s="31">
        <f>G472*H472</f>
        <v>0</v>
      </c>
      <c r="BK472" s="31"/>
      <c r="BL472" s="31">
        <v>784</v>
      </c>
      <c r="BW472" s="31" t="str">
        <f>I472</f>
        <v>21</v>
      </c>
      <c r="BX472" s="4" t="s">
        <v>990</v>
      </c>
    </row>
    <row r="473" spans="1:76" ht="14.35" x14ac:dyDescent="0.5">
      <c r="A473" s="34"/>
      <c r="D473" s="35" t="s">
        <v>992</v>
      </c>
      <c r="E473" s="35" t="s">
        <v>993</v>
      </c>
      <c r="G473" s="36">
        <v>933.24</v>
      </c>
      <c r="P473" s="37"/>
    </row>
    <row r="474" spans="1:76" ht="14.35" x14ac:dyDescent="0.5">
      <c r="A474" s="34"/>
      <c r="D474" s="35" t="s">
        <v>348</v>
      </c>
      <c r="E474" s="35" t="s">
        <v>791</v>
      </c>
      <c r="G474" s="36">
        <v>475.5</v>
      </c>
      <c r="P474" s="37"/>
    </row>
    <row r="475" spans="1:76" ht="14.35" x14ac:dyDescent="0.5">
      <c r="A475" s="34"/>
      <c r="D475" s="35" t="s">
        <v>350</v>
      </c>
      <c r="E475" s="35" t="s">
        <v>792</v>
      </c>
      <c r="G475" s="36">
        <v>231.43</v>
      </c>
      <c r="P475" s="37"/>
    </row>
    <row r="476" spans="1:76" ht="14.35" x14ac:dyDescent="0.5">
      <c r="A476" s="34"/>
      <c r="D476" s="35" t="s">
        <v>795</v>
      </c>
      <c r="E476" s="35" t="s">
        <v>796</v>
      </c>
      <c r="G476" s="36">
        <v>15.32</v>
      </c>
      <c r="P476" s="37"/>
    </row>
    <row r="477" spans="1:76" ht="14.35" x14ac:dyDescent="0.5">
      <c r="A477" s="2" t="s">
        <v>994</v>
      </c>
      <c r="B477" s="3" t="s">
        <v>49</v>
      </c>
      <c r="C477" s="3" t="s">
        <v>995</v>
      </c>
      <c r="D477" s="72" t="s">
        <v>996</v>
      </c>
      <c r="E477" s="73"/>
      <c r="F477" s="3" t="s">
        <v>125</v>
      </c>
      <c r="G477" s="31">
        <v>1346.33</v>
      </c>
      <c r="H477" s="71"/>
      <c r="I477" s="32" t="s">
        <v>56</v>
      </c>
      <c r="J477" s="31">
        <f>G477*AO477</f>
        <v>0</v>
      </c>
      <c r="K477" s="31">
        <f>G477*AP477</f>
        <v>0</v>
      </c>
      <c r="L477" s="31">
        <f>G477*H477</f>
        <v>0</v>
      </c>
      <c r="M477" s="31">
        <f>L477*(1+BW477/100)</f>
        <v>0</v>
      </c>
      <c r="N477" s="31">
        <v>0</v>
      </c>
      <c r="O477" s="31">
        <f>G477*N477</f>
        <v>0</v>
      </c>
      <c r="P477" s="33" t="s">
        <v>57</v>
      </c>
      <c r="Z477" s="31">
        <f>IF(AQ477="5",BJ477,0)</f>
        <v>0</v>
      </c>
      <c r="AB477" s="31">
        <f>IF(AQ477="1",BH477,0)</f>
        <v>0</v>
      </c>
      <c r="AC477" s="31">
        <f>IF(AQ477="1",BI477,0)</f>
        <v>0</v>
      </c>
      <c r="AD477" s="31">
        <f>IF(AQ477="7",BH477,0)</f>
        <v>0</v>
      </c>
      <c r="AE477" s="31">
        <f>IF(AQ477="7",BI477,0)</f>
        <v>0</v>
      </c>
      <c r="AF477" s="31">
        <f>IF(AQ477="2",BH477,0)</f>
        <v>0</v>
      </c>
      <c r="AG477" s="31">
        <f>IF(AQ477="2",BI477,0)</f>
        <v>0</v>
      </c>
      <c r="AH477" s="31">
        <f>IF(AQ477="0",BJ477,0)</f>
        <v>0</v>
      </c>
      <c r="AI477" s="12" t="s">
        <v>49</v>
      </c>
      <c r="AJ477" s="31">
        <f>IF(AN477=0,L477,0)</f>
        <v>0</v>
      </c>
      <c r="AK477" s="31">
        <f>IF(AN477=12,L477,0)</f>
        <v>0</v>
      </c>
      <c r="AL477" s="31">
        <f>IF(AN477=21,L477,0)</f>
        <v>0</v>
      </c>
      <c r="AN477" s="31">
        <v>21</v>
      </c>
      <c r="AO477" s="31">
        <f>H477*0.002466368</f>
        <v>0</v>
      </c>
      <c r="AP477" s="31">
        <f>H477*(1-0.002466368)</f>
        <v>0</v>
      </c>
      <c r="AQ477" s="32" t="s">
        <v>91</v>
      </c>
      <c r="AV477" s="31">
        <f>AW477+AX477</f>
        <v>0</v>
      </c>
      <c r="AW477" s="31">
        <f>G477*AO477</f>
        <v>0</v>
      </c>
      <c r="AX477" s="31">
        <f>G477*AP477</f>
        <v>0</v>
      </c>
      <c r="AY477" s="32" t="s">
        <v>991</v>
      </c>
      <c r="AZ477" s="32" t="s">
        <v>954</v>
      </c>
      <c r="BA477" s="12" t="s">
        <v>60</v>
      </c>
      <c r="BC477" s="31">
        <f>AW477+AX477</f>
        <v>0</v>
      </c>
      <c r="BD477" s="31">
        <f>H477/(100-BE477)*100</f>
        <v>0</v>
      </c>
      <c r="BE477" s="31">
        <v>0</v>
      </c>
      <c r="BF477" s="31">
        <f>O477</f>
        <v>0</v>
      </c>
      <c r="BH477" s="31">
        <f>G477*AO477</f>
        <v>0</v>
      </c>
      <c r="BI477" s="31">
        <f>G477*AP477</f>
        <v>0</v>
      </c>
      <c r="BJ477" s="31">
        <f>G477*H477</f>
        <v>0</v>
      </c>
      <c r="BK477" s="31"/>
      <c r="BL477" s="31">
        <v>784</v>
      </c>
      <c r="BW477" s="31" t="str">
        <f>I477</f>
        <v>21</v>
      </c>
      <c r="BX477" s="4" t="s">
        <v>996</v>
      </c>
    </row>
    <row r="478" spans="1:76" ht="14.35" x14ac:dyDescent="0.5">
      <c r="A478" s="34"/>
      <c r="D478" s="35" t="s">
        <v>357</v>
      </c>
      <c r="E478" s="35" t="s">
        <v>358</v>
      </c>
      <c r="G478" s="36">
        <v>359.04</v>
      </c>
      <c r="P478" s="37"/>
    </row>
    <row r="479" spans="1:76" ht="14.35" x14ac:dyDescent="0.5">
      <c r="A479" s="34"/>
      <c r="D479" s="35" t="s">
        <v>359</v>
      </c>
      <c r="E479" s="35" t="s">
        <v>360</v>
      </c>
      <c r="G479" s="36">
        <v>802.56</v>
      </c>
      <c r="P479" s="37"/>
    </row>
    <row r="480" spans="1:76" ht="14.35" x14ac:dyDescent="0.5">
      <c r="A480" s="34"/>
      <c r="D480" s="35" t="s">
        <v>361</v>
      </c>
      <c r="E480" s="35" t="s">
        <v>362</v>
      </c>
      <c r="G480" s="36">
        <v>184.73</v>
      </c>
      <c r="P480" s="37"/>
    </row>
    <row r="481" spans="1:76" ht="14.35" x14ac:dyDescent="0.5">
      <c r="A481" s="38" t="s">
        <v>49</v>
      </c>
      <c r="B481" s="39" t="s">
        <v>49</v>
      </c>
      <c r="C481" s="39" t="s">
        <v>544</v>
      </c>
      <c r="D481" s="126" t="s">
        <v>997</v>
      </c>
      <c r="E481" s="127"/>
      <c r="F481" s="40" t="s">
        <v>3</v>
      </c>
      <c r="G481" s="40" t="s">
        <v>3</v>
      </c>
      <c r="H481" s="40" t="s">
        <v>3</v>
      </c>
      <c r="I481" s="40" t="s">
        <v>3</v>
      </c>
      <c r="J481" s="1">
        <f>SUM(J482:J482)</f>
        <v>0</v>
      </c>
      <c r="K481" s="1">
        <f>SUM(K482:K482)</f>
        <v>0</v>
      </c>
      <c r="L481" s="1">
        <f>SUM(L482:L482)</f>
        <v>0</v>
      </c>
      <c r="M481" s="1">
        <f>SUM(M482:M482)</f>
        <v>0</v>
      </c>
      <c r="N481" s="12" t="s">
        <v>49</v>
      </c>
      <c r="O481" s="1">
        <f>SUM(O482:O482)</f>
        <v>0</v>
      </c>
      <c r="P481" s="41" t="s">
        <v>49</v>
      </c>
      <c r="AI481" s="12" t="s">
        <v>49</v>
      </c>
      <c r="AS481" s="1">
        <f>SUM(AJ482:AJ482)</f>
        <v>0</v>
      </c>
      <c r="AT481" s="1">
        <f>SUM(AK482:AK482)</f>
        <v>0</v>
      </c>
      <c r="AU481" s="1">
        <f>SUM(AL482:AL482)</f>
        <v>0</v>
      </c>
    </row>
    <row r="482" spans="1:76" ht="14.35" x14ac:dyDescent="0.5">
      <c r="A482" s="2" t="s">
        <v>998</v>
      </c>
      <c r="B482" s="3" t="s">
        <v>49</v>
      </c>
      <c r="C482" s="3" t="s">
        <v>999</v>
      </c>
      <c r="D482" s="72" t="s">
        <v>1000</v>
      </c>
      <c r="E482" s="73"/>
      <c r="F482" s="3" t="s">
        <v>1001</v>
      </c>
      <c r="G482" s="31">
        <v>300</v>
      </c>
      <c r="H482" s="71"/>
      <c r="I482" s="32" t="s">
        <v>56</v>
      </c>
      <c r="J482" s="31">
        <f>G482*AO482</f>
        <v>0</v>
      </c>
      <c r="K482" s="31">
        <f>G482*AP482</f>
        <v>0</v>
      </c>
      <c r="L482" s="31">
        <f>G482*H482</f>
        <v>0</v>
      </c>
      <c r="M482" s="31">
        <f>L482*(1+BW482/100)</f>
        <v>0</v>
      </c>
      <c r="N482" s="31">
        <v>0</v>
      </c>
      <c r="O482" s="31">
        <f>G482*N482</f>
        <v>0</v>
      </c>
      <c r="P482" s="33" t="s">
        <v>57</v>
      </c>
      <c r="Z482" s="31">
        <f>IF(AQ482="5",BJ482,0)</f>
        <v>0</v>
      </c>
      <c r="AB482" s="31">
        <f>IF(AQ482="1",BH482,0)</f>
        <v>0</v>
      </c>
      <c r="AC482" s="31">
        <f>IF(AQ482="1",BI482,0)</f>
        <v>0</v>
      </c>
      <c r="AD482" s="31">
        <f>IF(AQ482="7",BH482,0)</f>
        <v>0</v>
      </c>
      <c r="AE482" s="31">
        <f>IF(AQ482="7",BI482,0)</f>
        <v>0</v>
      </c>
      <c r="AF482" s="31">
        <f>IF(AQ482="2",BH482,0)</f>
        <v>0</v>
      </c>
      <c r="AG482" s="31">
        <f>IF(AQ482="2",BI482,0)</f>
        <v>0</v>
      </c>
      <c r="AH482" s="31">
        <f>IF(AQ482="0",BJ482,0)</f>
        <v>0</v>
      </c>
      <c r="AI482" s="12" t="s">
        <v>49</v>
      </c>
      <c r="AJ482" s="31">
        <f>IF(AN482=0,L482,0)</f>
        <v>0</v>
      </c>
      <c r="AK482" s="31">
        <f>IF(AN482=12,L482,0)</f>
        <v>0</v>
      </c>
      <c r="AL482" s="31">
        <f>IF(AN482=21,L482,0)</f>
        <v>0</v>
      </c>
      <c r="AN482" s="31">
        <v>21</v>
      </c>
      <c r="AO482" s="31">
        <f>H482*0</f>
        <v>0</v>
      </c>
      <c r="AP482" s="31">
        <f>H482*(1-0)</f>
        <v>0</v>
      </c>
      <c r="AQ482" s="32" t="s">
        <v>52</v>
      </c>
      <c r="AV482" s="31">
        <f>AW482+AX482</f>
        <v>0</v>
      </c>
      <c r="AW482" s="31">
        <f>G482*AO482</f>
        <v>0</v>
      </c>
      <c r="AX482" s="31">
        <f>G482*AP482</f>
        <v>0</v>
      </c>
      <c r="AY482" s="32" t="s">
        <v>1002</v>
      </c>
      <c r="AZ482" s="32" t="s">
        <v>1003</v>
      </c>
      <c r="BA482" s="12" t="s">
        <v>60</v>
      </c>
      <c r="BC482" s="31">
        <f>AW482+AX482</f>
        <v>0</v>
      </c>
      <c r="BD482" s="31">
        <f>H482/(100-BE482)*100</f>
        <v>0</v>
      </c>
      <c r="BE482" s="31">
        <v>0</v>
      </c>
      <c r="BF482" s="31">
        <f>O482</f>
        <v>0</v>
      </c>
      <c r="BH482" s="31">
        <f>G482*AO482</f>
        <v>0</v>
      </c>
      <c r="BI482" s="31">
        <f>G482*AP482</f>
        <v>0</v>
      </c>
      <c r="BJ482" s="31">
        <f>G482*H482</f>
        <v>0</v>
      </c>
      <c r="BK482" s="31"/>
      <c r="BL482" s="31">
        <v>90</v>
      </c>
      <c r="BW482" s="31" t="str">
        <f>I482</f>
        <v>21</v>
      </c>
      <c r="BX482" s="4" t="s">
        <v>1000</v>
      </c>
    </row>
    <row r="483" spans="1:76" ht="14.35" x14ac:dyDescent="0.5">
      <c r="A483" s="34"/>
      <c r="D483" s="35" t="s">
        <v>1004</v>
      </c>
      <c r="E483" s="35" t="s">
        <v>1005</v>
      </c>
      <c r="G483" s="36">
        <v>300</v>
      </c>
      <c r="P483" s="37"/>
    </row>
    <row r="484" spans="1:76" ht="14.35" x14ac:dyDescent="0.5">
      <c r="A484" s="38" t="s">
        <v>49</v>
      </c>
      <c r="B484" s="39" t="s">
        <v>49</v>
      </c>
      <c r="C484" s="39" t="s">
        <v>562</v>
      </c>
      <c r="D484" s="126" t="s">
        <v>1006</v>
      </c>
      <c r="E484" s="127"/>
      <c r="F484" s="40" t="s">
        <v>3</v>
      </c>
      <c r="G484" s="40" t="s">
        <v>3</v>
      </c>
      <c r="H484" s="40" t="s">
        <v>3</v>
      </c>
      <c r="I484" s="40" t="s">
        <v>3</v>
      </c>
      <c r="J484" s="1">
        <f>SUM(J485:J497)</f>
        <v>0</v>
      </c>
      <c r="K484" s="1">
        <f>SUM(K485:K497)</f>
        <v>0</v>
      </c>
      <c r="L484" s="1">
        <f>SUM(L485:L497)</f>
        <v>0</v>
      </c>
      <c r="M484" s="1">
        <f>SUM(M485:M497)</f>
        <v>0</v>
      </c>
      <c r="N484" s="12" t="s">
        <v>49</v>
      </c>
      <c r="O484" s="1">
        <f>SUM(O485:O497)</f>
        <v>21.328943600000002</v>
      </c>
      <c r="P484" s="41" t="s">
        <v>49</v>
      </c>
      <c r="AI484" s="12" t="s">
        <v>49</v>
      </c>
      <c r="AS484" s="1">
        <f>SUM(AJ485:AJ497)</f>
        <v>0</v>
      </c>
      <c r="AT484" s="1">
        <f>SUM(AK485:AK497)</f>
        <v>0</v>
      </c>
      <c r="AU484" s="1">
        <f>SUM(AL485:AL497)</f>
        <v>0</v>
      </c>
    </row>
    <row r="485" spans="1:76" ht="14.35" x14ac:dyDescent="0.5">
      <c r="A485" s="2" t="s">
        <v>1007</v>
      </c>
      <c r="B485" s="3" t="s">
        <v>49</v>
      </c>
      <c r="C485" s="3" t="s">
        <v>1008</v>
      </c>
      <c r="D485" s="72" t="s">
        <v>1009</v>
      </c>
      <c r="E485" s="73"/>
      <c r="F485" s="3" t="s">
        <v>125</v>
      </c>
      <c r="G485" s="31">
        <v>930.02</v>
      </c>
      <c r="H485" s="71"/>
      <c r="I485" s="32" t="s">
        <v>56</v>
      </c>
      <c r="J485" s="31">
        <f>G485*AO485</f>
        <v>0</v>
      </c>
      <c r="K485" s="31">
        <f>G485*AP485</f>
        <v>0</v>
      </c>
      <c r="L485" s="31">
        <f>G485*H485</f>
        <v>0</v>
      </c>
      <c r="M485" s="31">
        <f>L485*(1+BW485/100)</f>
        <v>0</v>
      </c>
      <c r="N485" s="31">
        <v>1.8380000000000001E-2</v>
      </c>
      <c r="O485" s="31">
        <f>G485*N485</f>
        <v>17.0937676</v>
      </c>
      <c r="P485" s="33" t="s">
        <v>57</v>
      </c>
      <c r="Z485" s="31">
        <f>IF(AQ485="5",BJ485,0)</f>
        <v>0</v>
      </c>
      <c r="AB485" s="31">
        <f>IF(AQ485="1",BH485,0)</f>
        <v>0</v>
      </c>
      <c r="AC485" s="31">
        <f>IF(AQ485="1",BI485,0)</f>
        <v>0</v>
      </c>
      <c r="AD485" s="31">
        <f>IF(AQ485="7",BH485,0)</f>
        <v>0</v>
      </c>
      <c r="AE485" s="31">
        <f>IF(AQ485="7",BI485,0)</f>
        <v>0</v>
      </c>
      <c r="AF485" s="31">
        <f>IF(AQ485="2",BH485,0)</f>
        <v>0</v>
      </c>
      <c r="AG485" s="31">
        <f>IF(AQ485="2",BI485,0)</f>
        <v>0</v>
      </c>
      <c r="AH485" s="31">
        <f>IF(AQ485="0",BJ485,0)</f>
        <v>0</v>
      </c>
      <c r="AI485" s="12" t="s">
        <v>49</v>
      </c>
      <c r="AJ485" s="31">
        <f>IF(AN485=0,L485,0)</f>
        <v>0</v>
      </c>
      <c r="AK485" s="31">
        <f>IF(AN485=12,L485,0)</f>
        <v>0</v>
      </c>
      <c r="AL485" s="31">
        <f>IF(AN485=21,L485,0)</f>
        <v>0</v>
      </c>
      <c r="AN485" s="31">
        <v>21</v>
      </c>
      <c r="AO485" s="31">
        <f>H485*0.000392157</f>
        <v>0</v>
      </c>
      <c r="AP485" s="31">
        <f>H485*(1-0.000392157)</f>
        <v>0</v>
      </c>
      <c r="AQ485" s="32" t="s">
        <v>52</v>
      </c>
      <c r="AV485" s="31">
        <f>AW485+AX485</f>
        <v>0</v>
      </c>
      <c r="AW485" s="31">
        <f>G485*AO485</f>
        <v>0</v>
      </c>
      <c r="AX485" s="31">
        <f>G485*AP485</f>
        <v>0</v>
      </c>
      <c r="AY485" s="32" t="s">
        <v>1010</v>
      </c>
      <c r="AZ485" s="32" t="s">
        <v>1003</v>
      </c>
      <c r="BA485" s="12" t="s">
        <v>60</v>
      </c>
      <c r="BC485" s="31">
        <f>AW485+AX485</f>
        <v>0</v>
      </c>
      <c r="BD485" s="31">
        <f>H485/(100-BE485)*100</f>
        <v>0</v>
      </c>
      <c r="BE485" s="31">
        <v>0</v>
      </c>
      <c r="BF485" s="31">
        <f>O485</f>
        <v>17.0937676</v>
      </c>
      <c r="BH485" s="31">
        <f>G485*AO485</f>
        <v>0</v>
      </c>
      <c r="BI485" s="31">
        <f>G485*AP485</f>
        <v>0</v>
      </c>
      <c r="BJ485" s="31">
        <f>G485*H485</f>
        <v>0</v>
      </c>
      <c r="BK485" s="31"/>
      <c r="BL485" s="31">
        <v>94</v>
      </c>
      <c r="BW485" s="31" t="str">
        <f>I485</f>
        <v>21</v>
      </c>
      <c r="BX485" s="4" t="s">
        <v>1009</v>
      </c>
    </row>
    <row r="486" spans="1:76" ht="14.35" x14ac:dyDescent="0.5">
      <c r="A486" s="34"/>
      <c r="D486" s="35" t="s">
        <v>1011</v>
      </c>
      <c r="E486" s="35" t="s">
        <v>1012</v>
      </c>
      <c r="G486" s="36">
        <v>930.02</v>
      </c>
      <c r="P486" s="37"/>
    </row>
    <row r="487" spans="1:76" ht="14.35" x14ac:dyDescent="0.5">
      <c r="A487" s="2" t="s">
        <v>1013</v>
      </c>
      <c r="B487" s="3" t="s">
        <v>49</v>
      </c>
      <c r="C487" s="3" t="s">
        <v>1014</v>
      </c>
      <c r="D487" s="72" t="s">
        <v>1015</v>
      </c>
      <c r="E487" s="73"/>
      <c r="F487" s="3" t="s">
        <v>125</v>
      </c>
      <c r="G487" s="31">
        <v>930.02</v>
      </c>
      <c r="H487" s="71"/>
      <c r="I487" s="32" t="s">
        <v>56</v>
      </c>
      <c r="J487" s="31">
        <f>G487*AO487</f>
        <v>0</v>
      </c>
      <c r="K487" s="31">
        <f>G487*AP487</f>
        <v>0</v>
      </c>
      <c r="L487" s="31">
        <f>G487*H487</f>
        <v>0</v>
      </c>
      <c r="M487" s="31">
        <f>L487*(1+BW487/100)</f>
        <v>0</v>
      </c>
      <c r="N487" s="31">
        <v>8.4999999999999995E-4</v>
      </c>
      <c r="O487" s="31">
        <f>G487*N487</f>
        <v>0.79051699999999991</v>
      </c>
      <c r="P487" s="33" t="s">
        <v>57</v>
      </c>
      <c r="Z487" s="31">
        <f>IF(AQ487="5",BJ487,0)</f>
        <v>0</v>
      </c>
      <c r="AB487" s="31">
        <f>IF(AQ487="1",BH487,0)</f>
        <v>0</v>
      </c>
      <c r="AC487" s="31">
        <f>IF(AQ487="1",BI487,0)</f>
        <v>0</v>
      </c>
      <c r="AD487" s="31">
        <f>IF(AQ487="7",BH487,0)</f>
        <v>0</v>
      </c>
      <c r="AE487" s="31">
        <f>IF(AQ487="7",BI487,0)</f>
        <v>0</v>
      </c>
      <c r="AF487" s="31">
        <f>IF(AQ487="2",BH487,0)</f>
        <v>0</v>
      </c>
      <c r="AG487" s="31">
        <f>IF(AQ487="2",BI487,0)</f>
        <v>0</v>
      </c>
      <c r="AH487" s="31">
        <f>IF(AQ487="0",BJ487,0)</f>
        <v>0</v>
      </c>
      <c r="AI487" s="12" t="s">
        <v>49</v>
      </c>
      <c r="AJ487" s="31">
        <f>IF(AN487=0,L487,0)</f>
        <v>0</v>
      </c>
      <c r="AK487" s="31">
        <f>IF(AN487=12,L487,0)</f>
        <v>0</v>
      </c>
      <c r="AL487" s="31">
        <f>IF(AN487=21,L487,0)</f>
        <v>0</v>
      </c>
      <c r="AN487" s="31">
        <v>21</v>
      </c>
      <c r="AO487" s="31">
        <f>H487*0.945892857</f>
        <v>0</v>
      </c>
      <c r="AP487" s="31">
        <f>H487*(1-0.945892857)</f>
        <v>0</v>
      </c>
      <c r="AQ487" s="32" t="s">
        <v>52</v>
      </c>
      <c r="AV487" s="31">
        <f>AW487+AX487</f>
        <v>0</v>
      </c>
      <c r="AW487" s="31">
        <f>G487*AO487</f>
        <v>0</v>
      </c>
      <c r="AX487" s="31">
        <f>G487*AP487</f>
        <v>0</v>
      </c>
      <c r="AY487" s="32" t="s">
        <v>1010</v>
      </c>
      <c r="AZ487" s="32" t="s">
        <v>1003</v>
      </c>
      <c r="BA487" s="12" t="s">
        <v>60</v>
      </c>
      <c r="BC487" s="31">
        <f>AW487+AX487</f>
        <v>0</v>
      </c>
      <c r="BD487" s="31">
        <f>H487/(100-BE487)*100</f>
        <v>0</v>
      </c>
      <c r="BE487" s="31">
        <v>0</v>
      </c>
      <c r="BF487" s="31">
        <f>O487</f>
        <v>0.79051699999999991</v>
      </c>
      <c r="BH487" s="31">
        <f>G487*AO487</f>
        <v>0</v>
      </c>
      <c r="BI487" s="31">
        <f>G487*AP487</f>
        <v>0</v>
      </c>
      <c r="BJ487" s="31">
        <f>G487*H487</f>
        <v>0</v>
      </c>
      <c r="BK487" s="31"/>
      <c r="BL487" s="31">
        <v>94</v>
      </c>
      <c r="BW487" s="31" t="str">
        <f>I487</f>
        <v>21</v>
      </c>
      <c r="BX487" s="4" t="s">
        <v>1015</v>
      </c>
    </row>
    <row r="488" spans="1:76" ht="14.35" x14ac:dyDescent="0.5">
      <c r="A488" s="2" t="s">
        <v>1016</v>
      </c>
      <c r="B488" s="3" t="s">
        <v>49</v>
      </c>
      <c r="C488" s="3" t="s">
        <v>1017</v>
      </c>
      <c r="D488" s="72" t="s">
        <v>1018</v>
      </c>
      <c r="E488" s="73"/>
      <c r="F488" s="3" t="s">
        <v>125</v>
      </c>
      <c r="G488" s="31">
        <v>930.02</v>
      </c>
      <c r="H488" s="71"/>
      <c r="I488" s="32" t="s">
        <v>56</v>
      </c>
      <c r="J488" s="31">
        <f>G488*AO488</f>
        <v>0</v>
      </c>
      <c r="K488" s="31">
        <f>G488*AP488</f>
        <v>0</v>
      </c>
      <c r="L488" s="31">
        <f>G488*H488</f>
        <v>0</v>
      </c>
      <c r="M488" s="31">
        <f>L488*(1+BW488/100)</f>
        <v>0</v>
      </c>
      <c r="N488" s="31">
        <v>0</v>
      </c>
      <c r="O488" s="31">
        <f>G488*N488</f>
        <v>0</v>
      </c>
      <c r="P488" s="33" t="s">
        <v>57</v>
      </c>
      <c r="Z488" s="31">
        <f>IF(AQ488="5",BJ488,0)</f>
        <v>0</v>
      </c>
      <c r="AB488" s="31">
        <f>IF(AQ488="1",BH488,0)</f>
        <v>0</v>
      </c>
      <c r="AC488" s="31">
        <f>IF(AQ488="1",BI488,0)</f>
        <v>0</v>
      </c>
      <c r="AD488" s="31">
        <f>IF(AQ488="7",BH488,0)</f>
        <v>0</v>
      </c>
      <c r="AE488" s="31">
        <f>IF(AQ488="7",BI488,0)</f>
        <v>0</v>
      </c>
      <c r="AF488" s="31">
        <f>IF(AQ488="2",BH488,0)</f>
        <v>0</v>
      </c>
      <c r="AG488" s="31">
        <f>IF(AQ488="2",BI488,0)</f>
        <v>0</v>
      </c>
      <c r="AH488" s="31">
        <f>IF(AQ488="0",BJ488,0)</f>
        <v>0</v>
      </c>
      <c r="AI488" s="12" t="s">
        <v>49</v>
      </c>
      <c r="AJ488" s="31">
        <f>IF(AN488=0,L488,0)</f>
        <v>0</v>
      </c>
      <c r="AK488" s="31">
        <f>IF(AN488=12,L488,0)</f>
        <v>0</v>
      </c>
      <c r="AL488" s="31">
        <f>IF(AN488=21,L488,0)</f>
        <v>0</v>
      </c>
      <c r="AN488" s="31">
        <v>21</v>
      </c>
      <c r="AO488" s="31">
        <f>H488*0</f>
        <v>0</v>
      </c>
      <c r="AP488" s="31">
        <f>H488*(1-0)</f>
        <v>0</v>
      </c>
      <c r="AQ488" s="32" t="s">
        <v>52</v>
      </c>
      <c r="AV488" s="31">
        <f>AW488+AX488</f>
        <v>0</v>
      </c>
      <c r="AW488" s="31">
        <f>G488*AO488</f>
        <v>0</v>
      </c>
      <c r="AX488" s="31">
        <f>G488*AP488</f>
        <v>0</v>
      </c>
      <c r="AY488" s="32" t="s">
        <v>1010</v>
      </c>
      <c r="AZ488" s="32" t="s">
        <v>1003</v>
      </c>
      <c r="BA488" s="12" t="s">
        <v>60</v>
      </c>
      <c r="BC488" s="31">
        <f>AW488+AX488</f>
        <v>0</v>
      </c>
      <c r="BD488" s="31">
        <f>H488/(100-BE488)*100</f>
        <v>0</v>
      </c>
      <c r="BE488" s="31">
        <v>0</v>
      </c>
      <c r="BF488" s="31">
        <f>O488</f>
        <v>0</v>
      </c>
      <c r="BH488" s="31">
        <f>G488*AO488</f>
        <v>0</v>
      </c>
      <c r="BI488" s="31">
        <f>G488*AP488</f>
        <v>0</v>
      </c>
      <c r="BJ488" s="31">
        <f>G488*H488</f>
        <v>0</v>
      </c>
      <c r="BK488" s="31"/>
      <c r="BL488" s="31">
        <v>94</v>
      </c>
      <c r="BW488" s="31" t="str">
        <f>I488</f>
        <v>21</v>
      </c>
      <c r="BX488" s="4" t="s">
        <v>1018</v>
      </c>
    </row>
    <row r="489" spans="1:76" ht="14.35" x14ac:dyDescent="0.5">
      <c r="A489" s="2" t="s">
        <v>1019</v>
      </c>
      <c r="B489" s="3" t="s">
        <v>49</v>
      </c>
      <c r="C489" s="3" t="s">
        <v>1020</v>
      </c>
      <c r="D489" s="72" t="s">
        <v>1021</v>
      </c>
      <c r="E489" s="73"/>
      <c r="F489" s="3" t="s">
        <v>125</v>
      </c>
      <c r="G489" s="31">
        <v>1055.8</v>
      </c>
      <c r="H489" s="71"/>
      <c r="I489" s="32" t="s">
        <v>56</v>
      </c>
      <c r="J489" s="31">
        <f>G489*AO489</f>
        <v>0</v>
      </c>
      <c r="K489" s="31">
        <f>G489*AP489</f>
        <v>0</v>
      </c>
      <c r="L489" s="31">
        <f>G489*H489</f>
        <v>0</v>
      </c>
      <c r="M489" s="31">
        <f>L489*(1+BW489/100)</f>
        <v>0</v>
      </c>
      <c r="N489" s="31">
        <v>1.58E-3</v>
      </c>
      <c r="O489" s="31">
        <f>G489*N489</f>
        <v>1.668164</v>
      </c>
      <c r="P489" s="33" t="s">
        <v>57</v>
      </c>
      <c r="Z489" s="31">
        <f>IF(AQ489="5",BJ489,0)</f>
        <v>0</v>
      </c>
      <c r="AB489" s="31">
        <f>IF(AQ489="1",BH489,0)</f>
        <v>0</v>
      </c>
      <c r="AC489" s="31">
        <f>IF(AQ489="1",BI489,0)</f>
        <v>0</v>
      </c>
      <c r="AD489" s="31">
        <f>IF(AQ489="7",BH489,0)</f>
        <v>0</v>
      </c>
      <c r="AE489" s="31">
        <f>IF(AQ489="7",BI489,0)</f>
        <v>0</v>
      </c>
      <c r="AF489" s="31">
        <f>IF(AQ489="2",BH489,0)</f>
        <v>0</v>
      </c>
      <c r="AG489" s="31">
        <f>IF(AQ489="2",BI489,0)</f>
        <v>0</v>
      </c>
      <c r="AH489" s="31">
        <f>IF(AQ489="0",BJ489,0)</f>
        <v>0</v>
      </c>
      <c r="AI489" s="12" t="s">
        <v>49</v>
      </c>
      <c r="AJ489" s="31">
        <f>IF(AN489=0,L489,0)</f>
        <v>0</v>
      </c>
      <c r="AK489" s="31">
        <f>IF(AN489=12,L489,0)</f>
        <v>0</v>
      </c>
      <c r="AL489" s="31">
        <f>IF(AN489=21,L489,0)</f>
        <v>0</v>
      </c>
      <c r="AN489" s="31">
        <v>21</v>
      </c>
      <c r="AO489" s="31">
        <f>H489*0.406703297</f>
        <v>0</v>
      </c>
      <c r="AP489" s="31">
        <f>H489*(1-0.406703297)</f>
        <v>0</v>
      </c>
      <c r="AQ489" s="32" t="s">
        <v>52</v>
      </c>
      <c r="AV489" s="31">
        <f>AW489+AX489</f>
        <v>0</v>
      </c>
      <c r="AW489" s="31">
        <f>G489*AO489</f>
        <v>0</v>
      </c>
      <c r="AX489" s="31">
        <f>G489*AP489</f>
        <v>0</v>
      </c>
      <c r="AY489" s="32" t="s">
        <v>1010</v>
      </c>
      <c r="AZ489" s="32" t="s">
        <v>1003</v>
      </c>
      <c r="BA489" s="12" t="s">
        <v>60</v>
      </c>
      <c r="BC489" s="31">
        <f>AW489+AX489</f>
        <v>0</v>
      </c>
      <c r="BD489" s="31">
        <f>H489/(100-BE489)*100</f>
        <v>0</v>
      </c>
      <c r="BE489" s="31">
        <v>0</v>
      </c>
      <c r="BF489" s="31">
        <f>O489</f>
        <v>1.668164</v>
      </c>
      <c r="BH489" s="31">
        <f>G489*AO489</f>
        <v>0</v>
      </c>
      <c r="BI489" s="31">
        <f>G489*AP489</f>
        <v>0</v>
      </c>
      <c r="BJ489" s="31">
        <f>G489*H489</f>
        <v>0</v>
      </c>
      <c r="BK489" s="31"/>
      <c r="BL489" s="31">
        <v>94</v>
      </c>
      <c r="BW489" s="31" t="str">
        <f>I489</f>
        <v>21</v>
      </c>
      <c r="BX489" s="4" t="s">
        <v>1021</v>
      </c>
    </row>
    <row r="490" spans="1:76" ht="14.35" x14ac:dyDescent="0.5">
      <c r="A490" s="34"/>
      <c r="D490" s="35" t="s">
        <v>1022</v>
      </c>
      <c r="E490" s="35" t="s">
        <v>1023</v>
      </c>
      <c r="G490" s="36">
        <v>795.8</v>
      </c>
      <c r="P490" s="37"/>
    </row>
    <row r="491" spans="1:76" ht="14.35" x14ac:dyDescent="0.5">
      <c r="A491" s="34"/>
      <c r="D491" s="35" t="s">
        <v>1024</v>
      </c>
      <c r="E491" s="35" t="s">
        <v>1025</v>
      </c>
      <c r="G491" s="36">
        <v>260</v>
      </c>
      <c r="P491" s="37"/>
    </row>
    <row r="492" spans="1:76" ht="14.35" x14ac:dyDescent="0.5">
      <c r="A492" s="2" t="s">
        <v>1026</v>
      </c>
      <c r="B492" s="3" t="s">
        <v>49</v>
      </c>
      <c r="C492" s="3" t="s">
        <v>1027</v>
      </c>
      <c r="D492" s="72" t="s">
        <v>1028</v>
      </c>
      <c r="E492" s="73"/>
      <c r="F492" s="3" t="s">
        <v>55</v>
      </c>
      <c r="G492" s="31">
        <v>241.7</v>
      </c>
      <c r="H492" s="71"/>
      <c r="I492" s="32" t="s">
        <v>56</v>
      </c>
      <c r="J492" s="31">
        <f>G492*AO492</f>
        <v>0</v>
      </c>
      <c r="K492" s="31">
        <f>G492*AP492</f>
        <v>0</v>
      </c>
      <c r="L492" s="31">
        <f>G492*H492</f>
        <v>0</v>
      </c>
      <c r="M492" s="31">
        <f>L492*(1+BW492/100)</f>
        <v>0</v>
      </c>
      <c r="N492" s="31">
        <v>7.3499999999999998E-3</v>
      </c>
      <c r="O492" s="31">
        <f>G492*N492</f>
        <v>1.7764949999999999</v>
      </c>
      <c r="P492" s="33" t="s">
        <v>57</v>
      </c>
      <c r="Z492" s="31">
        <f>IF(AQ492="5",BJ492,0)</f>
        <v>0</v>
      </c>
      <c r="AB492" s="31">
        <f>IF(AQ492="1",BH492,0)</f>
        <v>0</v>
      </c>
      <c r="AC492" s="31">
        <f>IF(AQ492="1",BI492,0)</f>
        <v>0</v>
      </c>
      <c r="AD492" s="31">
        <f>IF(AQ492="7",BH492,0)</f>
        <v>0</v>
      </c>
      <c r="AE492" s="31">
        <f>IF(AQ492="7",BI492,0)</f>
        <v>0</v>
      </c>
      <c r="AF492" s="31">
        <f>IF(AQ492="2",BH492,0)</f>
        <v>0</v>
      </c>
      <c r="AG492" s="31">
        <f>IF(AQ492="2",BI492,0)</f>
        <v>0</v>
      </c>
      <c r="AH492" s="31">
        <f>IF(AQ492="0",BJ492,0)</f>
        <v>0</v>
      </c>
      <c r="AI492" s="12" t="s">
        <v>49</v>
      </c>
      <c r="AJ492" s="31">
        <f>IF(AN492=0,L492,0)</f>
        <v>0</v>
      </c>
      <c r="AK492" s="31">
        <f>IF(AN492=12,L492,0)</f>
        <v>0</v>
      </c>
      <c r="AL492" s="31">
        <f>IF(AN492=21,L492,0)</f>
        <v>0</v>
      </c>
      <c r="AN492" s="31">
        <v>21</v>
      </c>
      <c r="AO492" s="31">
        <f>H492*0.000555401</f>
        <v>0</v>
      </c>
      <c r="AP492" s="31">
        <f>H492*(1-0.000555401)</f>
        <v>0</v>
      </c>
      <c r="AQ492" s="32" t="s">
        <v>52</v>
      </c>
      <c r="AV492" s="31">
        <f>AW492+AX492</f>
        <v>0</v>
      </c>
      <c r="AW492" s="31">
        <f>G492*AO492</f>
        <v>0</v>
      </c>
      <c r="AX492" s="31">
        <f>G492*AP492</f>
        <v>0</v>
      </c>
      <c r="AY492" s="32" t="s">
        <v>1010</v>
      </c>
      <c r="AZ492" s="32" t="s">
        <v>1003</v>
      </c>
      <c r="BA492" s="12" t="s">
        <v>60</v>
      </c>
      <c r="BC492" s="31">
        <f>AW492+AX492</f>
        <v>0</v>
      </c>
      <c r="BD492" s="31">
        <f>H492/(100-BE492)*100</f>
        <v>0</v>
      </c>
      <c r="BE492" s="31">
        <v>0</v>
      </c>
      <c r="BF492" s="31">
        <f>O492</f>
        <v>1.7764949999999999</v>
      </c>
      <c r="BH492" s="31">
        <f>G492*AO492</f>
        <v>0</v>
      </c>
      <c r="BI492" s="31">
        <f>G492*AP492</f>
        <v>0</v>
      </c>
      <c r="BJ492" s="31">
        <f>G492*H492</f>
        <v>0</v>
      </c>
      <c r="BK492" s="31"/>
      <c r="BL492" s="31">
        <v>94</v>
      </c>
      <c r="BW492" s="31" t="str">
        <f>I492</f>
        <v>21</v>
      </c>
      <c r="BX492" s="4" t="s">
        <v>1028</v>
      </c>
    </row>
    <row r="493" spans="1:76" ht="14.35" x14ac:dyDescent="0.5">
      <c r="A493" s="34"/>
      <c r="D493" s="35" t="s">
        <v>1029</v>
      </c>
      <c r="E493" s="35" t="s">
        <v>1030</v>
      </c>
      <c r="G493" s="36">
        <v>241.7</v>
      </c>
      <c r="P493" s="37"/>
    </row>
    <row r="494" spans="1:76" ht="14.35" x14ac:dyDescent="0.5">
      <c r="A494" s="2" t="s">
        <v>285</v>
      </c>
      <c r="B494" s="3" t="s">
        <v>49</v>
      </c>
      <c r="C494" s="3" t="s">
        <v>1031</v>
      </c>
      <c r="D494" s="72" t="s">
        <v>1032</v>
      </c>
      <c r="E494" s="73"/>
      <c r="F494" s="3" t="s">
        <v>55</v>
      </c>
      <c r="G494" s="31">
        <v>241.7</v>
      </c>
      <c r="H494" s="71"/>
      <c r="I494" s="32" t="s">
        <v>56</v>
      </c>
      <c r="J494" s="31">
        <f>G494*AO494</f>
        <v>0</v>
      </c>
      <c r="K494" s="31">
        <f>G494*AP494</f>
        <v>0</v>
      </c>
      <c r="L494" s="31">
        <f>G494*H494</f>
        <v>0</v>
      </c>
      <c r="M494" s="31">
        <f>L494*(1+BW494/100)</f>
        <v>0</v>
      </c>
      <c r="N494" s="31">
        <v>0</v>
      </c>
      <c r="O494" s="31">
        <f>G494*N494</f>
        <v>0</v>
      </c>
      <c r="P494" s="33" t="s">
        <v>57</v>
      </c>
      <c r="Z494" s="31">
        <f>IF(AQ494="5",BJ494,0)</f>
        <v>0</v>
      </c>
      <c r="AB494" s="31">
        <f>IF(AQ494="1",BH494,0)</f>
        <v>0</v>
      </c>
      <c r="AC494" s="31">
        <f>IF(AQ494="1",BI494,0)</f>
        <v>0</v>
      </c>
      <c r="AD494" s="31">
        <f>IF(AQ494="7",BH494,0)</f>
        <v>0</v>
      </c>
      <c r="AE494" s="31">
        <f>IF(AQ494="7",BI494,0)</f>
        <v>0</v>
      </c>
      <c r="AF494" s="31">
        <f>IF(AQ494="2",BH494,0)</f>
        <v>0</v>
      </c>
      <c r="AG494" s="31">
        <f>IF(AQ494="2",BI494,0)</f>
        <v>0</v>
      </c>
      <c r="AH494" s="31">
        <f>IF(AQ494="0",BJ494,0)</f>
        <v>0</v>
      </c>
      <c r="AI494" s="12" t="s">
        <v>49</v>
      </c>
      <c r="AJ494" s="31">
        <f>IF(AN494=0,L494,0)</f>
        <v>0</v>
      </c>
      <c r="AK494" s="31">
        <f>IF(AN494=12,L494,0)</f>
        <v>0</v>
      </c>
      <c r="AL494" s="31">
        <f>IF(AN494=21,L494,0)</f>
        <v>0</v>
      </c>
      <c r="AN494" s="31">
        <v>21</v>
      </c>
      <c r="AO494" s="31">
        <f>H494*0</f>
        <v>0</v>
      </c>
      <c r="AP494" s="31">
        <f>H494*(1-0)</f>
        <v>0</v>
      </c>
      <c r="AQ494" s="32" t="s">
        <v>52</v>
      </c>
      <c r="AV494" s="31">
        <f>AW494+AX494</f>
        <v>0</v>
      </c>
      <c r="AW494" s="31">
        <f>G494*AO494</f>
        <v>0</v>
      </c>
      <c r="AX494" s="31">
        <f>G494*AP494</f>
        <v>0</v>
      </c>
      <c r="AY494" s="32" t="s">
        <v>1010</v>
      </c>
      <c r="AZ494" s="32" t="s">
        <v>1003</v>
      </c>
      <c r="BA494" s="12" t="s">
        <v>60</v>
      </c>
      <c r="BC494" s="31">
        <f>AW494+AX494</f>
        <v>0</v>
      </c>
      <c r="BD494" s="31">
        <f>H494/(100-BE494)*100</f>
        <v>0</v>
      </c>
      <c r="BE494" s="31">
        <v>0</v>
      </c>
      <c r="BF494" s="31">
        <f>O494</f>
        <v>0</v>
      </c>
      <c r="BH494" s="31">
        <f>G494*AO494</f>
        <v>0</v>
      </c>
      <c r="BI494" s="31">
        <f>G494*AP494</f>
        <v>0</v>
      </c>
      <c r="BJ494" s="31">
        <f>G494*H494</f>
        <v>0</v>
      </c>
      <c r="BK494" s="31"/>
      <c r="BL494" s="31">
        <v>94</v>
      </c>
      <c r="BW494" s="31" t="str">
        <f>I494</f>
        <v>21</v>
      </c>
      <c r="BX494" s="4" t="s">
        <v>1032</v>
      </c>
    </row>
    <row r="495" spans="1:76" ht="14.35" x14ac:dyDescent="0.5">
      <c r="A495" s="2" t="s">
        <v>1033</v>
      </c>
      <c r="B495" s="3" t="s">
        <v>49</v>
      </c>
      <c r="C495" s="3" t="s">
        <v>1034</v>
      </c>
      <c r="D495" s="72" t="s">
        <v>1035</v>
      </c>
      <c r="E495" s="73"/>
      <c r="F495" s="3" t="s">
        <v>55</v>
      </c>
      <c r="G495" s="31">
        <v>7251</v>
      </c>
      <c r="H495" s="71"/>
      <c r="I495" s="32" t="s">
        <v>56</v>
      </c>
      <c r="J495" s="31">
        <f>G495*AO495</f>
        <v>0</v>
      </c>
      <c r="K495" s="31">
        <f>G495*AP495</f>
        <v>0</v>
      </c>
      <c r="L495" s="31">
        <f>G495*H495</f>
        <v>0</v>
      </c>
      <c r="M495" s="31">
        <f>L495*(1+BW495/100)</f>
        <v>0</v>
      </c>
      <c r="N495" s="31">
        <v>0</v>
      </c>
      <c r="O495" s="31">
        <f>G495*N495</f>
        <v>0</v>
      </c>
      <c r="P495" s="33" t="s">
        <v>57</v>
      </c>
      <c r="Z495" s="31">
        <f>IF(AQ495="5",BJ495,0)</f>
        <v>0</v>
      </c>
      <c r="AB495" s="31">
        <f>IF(AQ495="1",BH495,0)</f>
        <v>0</v>
      </c>
      <c r="AC495" s="31">
        <f>IF(AQ495="1",BI495,0)</f>
        <v>0</v>
      </c>
      <c r="AD495" s="31">
        <f>IF(AQ495="7",BH495,0)</f>
        <v>0</v>
      </c>
      <c r="AE495" s="31">
        <f>IF(AQ495="7",BI495,0)</f>
        <v>0</v>
      </c>
      <c r="AF495" s="31">
        <f>IF(AQ495="2",BH495,0)</f>
        <v>0</v>
      </c>
      <c r="AG495" s="31">
        <f>IF(AQ495="2",BI495,0)</f>
        <v>0</v>
      </c>
      <c r="AH495" s="31">
        <f>IF(AQ495="0",BJ495,0)</f>
        <v>0</v>
      </c>
      <c r="AI495" s="12" t="s">
        <v>49</v>
      </c>
      <c r="AJ495" s="31">
        <f>IF(AN495=0,L495,0)</f>
        <v>0</v>
      </c>
      <c r="AK495" s="31">
        <f>IF(AN495=12,L495,0)</f>
        <v>0</v>
      </c>
      <c r="AL495" s="31">
        <f>IF(AN495=21,L495,0)</f>
        <v>0</v>
      </c>
      <c r="AN495" s="31">
        <v>21</v>
      </c>
      <c r="AO495" s="31">
        <f>H495*0</f>
        <v>0</v>
      </c>
      <c r="AP495" s="31">
        <f>H495*(1-0)</f>
        <v>0</v>
      </c>
      <c r="AQ495" s="32" t="s">
        <v>52</v>
      </c>
      <c r="AV495" s="31">
        <f>AW495+AX495</f>
        <v>0</v>
      </c>
      <c r="AW495" s="31">
        <f>G495*AO495</f>
        <v>0</v>
      </c>
      <c r="AX495" s="31">
        <f>G495*AP495</f>
        <v>0</v>
      </c>
      <c r="AY495" s="32" t="s">
        <v>1010</v>
      </c>
      <c r="AZ495" s="32" t="s">
        <v>1003</v>
      </c>
      <c r="BA495" s="12" t="s">
        <v>60</v>
      </c>
      <c r="BC495" s="31">
        <f>AW495+AX495</f>
        <v>0</v>
      </c>
      <c r="BD495" s="31">
        <f>H495/(100-BE495)*100</f>
        <v>0</v>
      </c>
      <c r="BE495" s="31">
        <v>0</v>
      </c>
      <c r="BF495" s="31">
        <f>O495</f>
        <v>0</v>
      </c>
      <c r="BH495" s="31">
        <f>G495*AO495</f>
        <v>0</v>
      </c>
      <c r="BI495" s="31">
        <f>G495*AP495</f>
        <v>0</v>
      </c>
      <c r="BJ495" s="31">
        <f>G495*H495</f>
        <v>0</v>
      </c>
      <c r="BK495" s="31"/>
      <c r="BL495" s="31">
        <v>94</v>
      </c>
      <c r="BW495" s="31" t="str">
        <f>I495</f>
        <v>21</v>
      </c>
      <c r="BX495" s="4" t="s">
        <v>1035</v>
      </c>
    </row>
    <row r="496" spans="1:76" ht="14.35" x14ac:dyDescent="0.5">
      <c r="A496" s="34"/>
      <c r="D496" s="35" t="s">
        <v>1036</v>
      </c>
      <c r="E496" s="35" t="s">
        <v>49</v>
      </c>
      <c r="G496" s="36">
        <v>7251</v>
      </c>
      <c r="P496" s="37"/>
    </row>
    <row r="497" spans="1:76" ht="14.35" x14ac:dyDescent="0.5">
      <c r="A497" s="2" t="s">
        <v>1037</v>
      </c>
      <c r="B497" s="3" t="s">
        <v>49</v>
      </c>
      <c r="C497" s="3" t="s">
        <v>1038</v>
      </c>
      <c r="D497" s="72" t="s">
        <v>1039</v>
      </c>
      <c r="E497" s="73"/>
      <c r="F497" s="3" t="s">
        <v>55</v>
      </c>
      <c r="G497" s="31">
        <v>241.7</v>
      </c>
      <c r="H497" s="71"/>
      <c r="I497" s="32" t="s">
        <v>56</v>
      </c>
      <c r="J497" s="31">
        <f>G497*AO497</f>
        <v>0</v>
      </c>
      <c r="K497" s="31">
        <f>G497*AP497</f>
        <v>0</v>
      </c>
      <c r="L497" s="31">
        <f>G497*H497</f>
        <v>0</v>
      </c>
      <c r="M497" s="31">
        <f>L497*(1+BW497/100)</f>
        <v>0</v>
      </c>
      <c r="N497" s="31">
        <v>0</v>
      </c>
      <c r="O497" s="31">
        <f>G497*N497</f>
        <v>0</v>
      </c>
      <c r="P497" s="33" t="s">
        <v>57</v>
      </c>
      <c r="Z497" s="31">
        <f>IF(AQ497="5",BJ497,0)</f>
        <v>0</v>
      </c>
      <c r="AB497" s="31">
        <f>IF(AQ497="1",BH497,0)</f>
        <v>0</v>
      </c>
      <c r="AC497" s="31">
        <f>IF(AQ497="1",BI497,0)</f>
        <v>0</v>
      </c>
      <c r="AD497" s="31">
        <f>IF(AQ497="7",BH497,0)</f>
        <v>0</v>
      </c>
      <c r="AE497" s="31">
        <f>IF(AQ497="7",BI497,0)</f>
        <v>0</v>
      </c>
      <c r="AF497" s="31">
        <f>IF(AQ497="2",BH497,0)</f>
        <v>0</v>
      </c>
      <c r="AG497" s="31">
        <f>IF(AQ497="2",BI497,0)</f>
        <v>0</v>
      </c>
      <c r="AH497" s="31">
        <f>IF(AQ497="0",BJ497,0)</f>
        <v>0</v>
      </c>
      <c r="AI497" s="12" t="s">
        <v>49</v>
      </c>
      <c r="AJ497" s="31">
        <f>IF(AN497=0,L497,0)</f>
        <v>0</v>
      </c>
      <c r="AK497" s="31">
        <f>IF(AN497=12,L497,0)</f>
        <v>0</v>
      </c>
      <c r="AL497" s="31">
        <f>IF(AN497=21,L497,0)</f>
        <v>0</v>
      </c>
      <c r="AN497" s="31">
        <v>21</v>
      </c>
      <c r="AO497" s="31">
        <f>H497*0</f>
        <v>0</v>
      </c>
      <c r="AP497" s="31">
        <f>H497*(1-0)</f>
        <v>0</v>
      </c>
      <c r="AQ497" s="32" t="s">
        <v>52</v>
      </c>
      <c r="AV497" s="31">
        <f>AW497+AX497</f>
        <v>0</v>
      </c>
      <c r="AW497" s="31">
        <f>G497*AO497</f>
        <v>0</v>
      </c>
      <c r="AX497" s="31">
        <f>G497*AP497</f>
        <v>0</v>
      </c>
      <c r="AY497" s="32" t="s">
        <v>1010</v>
      </c>
      <c r="AZ497" s="32" t="s">
        <v>1003</v>
      </c>
      <c r="BA497" s="12" t="s">
        <v>60</v>
      </c>
      <c r="BC497" s="31">
        <f>AW497+AX497</f>
        <v>0</v>
      </c>
      <c r="BD497" s="31">
        <f>H497/(100-BE497)*100</f>
        <v>0</v>
      </c>
      <c r="BE497" s="31">
        <v>0</v>
      </c>
      <c r="BF497" s="31">
        <f>O497</f>
        <v>0</v>
      </c>
      <c r="BH497" s="31">
        <f>G497*AO497</f>
        <v>0</v>
      </c>
      <c r="BI497" s="31">
        <f>G497*AP497</f>
        <v>0</v>
      </c>
      <c r="BJ497" s="31">
        <f>G497*H497</f>
        <v>0</v>
      </c>
      <c r="BK497" s="31"/>
      <c r="BL497" s="31">
        <v>94</v>
      </c>
      <c r="BW497" s="31" t="str">
        <f>I497</f>
        <v>21</v>
      </c>
      <c r="BX497" s="4" t="s">
        <v>1039</v>
      </c>
    </row>
    <row r="498" spans="1:76" ht="14.35" x14ac:dyDescent="0.5">
      <c r="A498" s="38" t="s">
        <v>49</v>
      </c>
      <c r="B498" s="39" t="s">
        <v>49</v>
      </c>
      <c r="C498" s="39" t="s">
        <v>567</v>
      </c>
      <c r="D498" s="126" t="s">
        <v>1040</v>
      </c>
      <c r="E498" s="127"/>
      <c r="F498" s="40" t="s">
        <v>3</v>
      </c>
      <c r="G498" s="40" t="s">
        <v>3</v>
      </c>
      <c r="H498" s="40" t="s">
        <v>3</v>
      </c>
      <c r="I498" s="40" t="s">
        <v>3</v>
      </c>
      <c r="J498" s="1">
        <f>SUM(J499:J504)</f>
        <v>0</v>
      </c>
      <c r="K498" s="1">
        <f>SUM(K499:K504)</f>
        <v>0</v>
      </c>
      <c r="L498" s="1">
        <f>SUM(L499:L504)</f>
        <v>0</v>
      </c>
      <c r="M498" s="1">
        <f>SUM(M499:M504)</f>
        <v>0</v>
      </c>
      <c r="N498" s="12" t="s">
        <v>49</v>
      </c>
      <c r="O498" s="1">
        <f>SUM(O499:O504)</f>
        <v>0.29171999999999998</v>
      </c>
      <c r="P498" s="41" t="s">
        <v>49</v>
      </c>
      <c r="AI498" s="12" t="s">
        <v>49</v>
      </c>
      <c r="AS498" s="1">
        <f>SUM(AJ499:AJ504)</f>
        <v>0</v>
      </c>
      <c r="AT498" s="1">
        <f>SUM(AK499:AK504)</f>
        <v>0</v>
      </c>
      <c r="AU498" s="1">
        <f>SUM(AL499:AL504)</f>
        <v>0</v>
      </c>
    </row>
    <row r="499" spans="1:76" ht="14.35" x14ac:dyDescent="0.5">
      <c r="A499" s="2" t="s">
        <v>1041</v>
      </c>
      <c r="B499" s="3" t="s">
        <v>49</v>
      </c>
      <c r="C499" s="3" t="s">
        <v>1042</v>
      </c>
      <c r="D499" s="72" t="s">
        <v>1043</v>
      </c>
      <c r="E499" s="73"/>
      <c r="F499" s="3" t="s">
        <v>179</v>
      </c>
      <c r="G499" s="31">
        <v>36</v>
      </c>
      <c r="H499" s="71"/>
      <c r="I499" s="32" t="s">
        <v>56</v>
      </c>
      <c r="J499" s="31">
        <f>G499*AO499</f>
        <v>0</v>
      </c>
      <c r="K499" s="31">
        <f>G499*AP499</f>
        <v>0</v>
      </c>
      <c r="L499" s="31">
        <f>G499*H499</f>
        <v>0</v>
      </c>
      <c r="M499" s="31">
        <f>L499*(1+BW499/100)</f>
        <v>0</v>
      </c>
      <c r="N499" s="31">
        <v>4.7699999999999999E-3</v>
      </c>
      <c r="O499" s="31">
        <f>G499*N499</f>
        <v>0.17171999999999998</v>
      </c>
      <c r="P499" s="33" t="s">
        <v>57</v>
      </c>
      <c r="Z499" s="31">
        <f>IF(AQ499="5",BJ499,0)</f>
        <v>0</v>
      </c>
      <c r="AB499" s="31">
        <f>IF(AQ499="1",BH499,0)</f>
        <v>0</v>
      </c>
      <c r="AC499" s="31">
        <f>IF(AQ499="1",BI499,0)</f>
        <v>0</v>
      </c>
      <c r="AD499" s="31">
        <f>IF(AQ499="7",BH499,0)</f>
        <v>0</v>
      </c>
      <c r="AE499" s="31">
        <f>IF(AQ499="7",BI499,0)</f>
        <v>0</v>
      </c>
      <c r="AF499" s="31">
        <f>IF(AQ499="2",BH499,0)</f>
        <v>0</v>
      </c>
      <c r="AG499" s="31">
        <f>IF(AQ499="2",BI499,0)</f>
        <v>0</v>
      </c>
      <c r="AH499" s="31">
        <f>IF(AQ499="0",BJ499,0)</f>
        <v>0</v>
      </c>
      <c r="AI499" s="12" t="s">
        <v>49</v>
      </c>
      <c r="AJ499" s="31">
        <f>IF(AN499=0,L499,0)</f>
        <v>0</v>
      </c>
      <c r="AK499" s="31">
        <f>IF(AN499=12,L499,0)</f>
        <v>0</v>
      </c>
      <c r="AL499" s="31">
        <f>IF(AN499=21,L499,0)</f>
        <v>0</v>
      </c>
      <c r="AN499" s="31">
        <v>21</v>
      </c>
      <c r="AO499" s="31">
        <f>H499*0.054057508</f>
        <v>0</v>
      </c>
      <c r="AP499" s="31">
        <f>H499*(1-0.054057508)</f>
        <v>0</v>
      </c>
      <c r="AQ499" s="32" t="s">
        <v>52</v>
      </c>
      <c r="AV499" s="31">
        <f>AW499+AX499</f>
        <v>0</v>
      </c>
      <c r="AW499" s="31">
        <f>G499*AO499</f>
        <v>0</v>
      </c>
      <c r="AX499" s="31">
        <f>G499*AP499</f>
        <v>0</v>
      </c>
      <c r="AY499" s="32" t="s">
        <v>1044</v>
      </c>
      <c r="AZ499" s="32" t="s">
        <v>1003</v>
      </c>
      <c r="BA499" s="12" t="s">
        <v>60</v>
      </c>
      <c r="BC499" s="31">
        <f>AW499+AX499</f>
        <v>0</v>
      </c>
      <c r="BD499" s="31">
        <f>H499/(100-BE499)*100</f>
        <v>0</v>
      </c>
      <c r="BE499" s="31">
        <v>0</v>
      </c>
      <c r="BF499" s="31">
        <f>O499</f>
        <v>0.17171999999999998</v>
      </c>
      <c r="BH499" s="31">
        <f>G499*AO499</f>
        <v>0</v>
      </c>
      <c r="BI499" s="31">
        <f>G499*AP499</f>
        <v>0</v>
      </c>
      <c r="BJ499" s="31">
        <f>G499*H499</f>
        <v>0</v>
      </c>
      <c r="BK499" s="31"/>
      <c r="BL499" s="31">
        <v>95</v>
      </c>
      <c r="BW499" s="31" t="str">
        <f>I499</f>
        <v>21</v>
      </c>
      <c r="BX499" s="4" t="s">
        <v>1043</v>
      </c>
    </row>
    <row r="500" spans="1:76" ht="14.35" x14ac:dyDescent="0.5">
      <c r="A500" s="34"/>
      <c r="D500" s="35" t="s">
        <v>1045</v>
      </c>
      <c r="E500" s="35" t="s">
        <v>1046</v>
      </c>
      <c r="G500" s="36">
        <v>36</v>
      </c>
      <c r="P500" s="37"/>
    </row>
    <row r="501" spans="1:76" ht="14.35" x14ac:dyDescent="0.5">
      <c r="A501" s="2" t="s">
        <v>1047</v>
      </c>
      <c r="B501" s="3" t="s">
        <v>49</v>
      </c>
      <c r="C501" s="3" t="s">
        <v>1048</v>
      </c>
      <c r="D501" s="72" t="s">
        <v>1049</v>
      </c>
      <c r="E501" s="73"/>
      <c r="F501" s="3" t="s">
        <v>290</v>
      </c>
      <c r="G501" s="31">
        <v>0.12</v>
      </c>
      <c r="H501" s="71"/>
      <c r="I501" s="32" t="s">
        <v>56</v>
      </c>
      <c r="J501" s="31">
        <f>G501*AO501</f>
        <v>0</v>
      </c>
      <c r="K501" s="31">
        <f>G501*AP501</f>
        <v>0</v>
      </c>
      <c r="L501" s="31">
        <f>G501*H501</f>
        <v>0</v>
      </c>
      <c r="M501" s="31">
        <f>L501*(1+BW501/100)</f>
        <v>0</v>
      </c>
      <c r="N501" s="31">
        <v>1</v>
      </c>
      <c r="O501" s="31">
        <f>G501*N501</f>
        <v>0.12</v>
      </c>
      <c r="P501" s="33" t="s">
        <v>57</v>
      </c>
      <c r="Z501" s="31">
        <f>IF(AQ501="5",BJ501,0)</f>
        <v>0</v>
      </c>
      <c r="AB501" s="31">
        <f>IF(AQ501="1",BH501,0)</f>
        <v>0</v>
      </c>
      <c r="AC501" s="31">
        <f>IF(AQ501="1",BI501,0)</f>
        <v>0</v>
      </c>
      <c r="AD501" s="31">
        <f>IF(AQ501="7",BH501,0)</f>
        <v>0</v>
      </c>
      <c r="AE501" s="31">
        <f>IF(AQ501="7",BI501,0)</f>
        <v>0</v>
      </c>
      <c r="AF501" s="31">
        <f>IF(AQ501="2",BH501,0)</f>
        <v>0</v>
      </c>
      <c r="AG501" s="31">
        <f>IF(AQ501="2",BI501,0)</f>
        <v>0</v>
      </c>
      <c r="AH501" s="31">
        <f>IF(AQ501="0",BJ501,0)</f>
        <v>0</v>
      </c>
      <c r="AI501" s="12" t="s">
        <v>49</v>
      </c>
      <c r="AJ501" s="31">
        <f>IF(AN501=0,L501,0)</f>
        <v>0</v>
      </c>
      <c r="AK501" s="31">
        <f>IF(AN501=12,L501,0)</f>
        <v>0</v>
      </c>
      <c r="AL501" s="31">
        <f>IF(AN501=21,L501,0)</f>
        <v>0</v>
      </c>
      <c r="AN501" s="31">
        <v>21</v>
      </c>
      <c r="AO501" s="31">
        <f>H501*1</f>
        <v>0</v>
      </c>
      <c r="AP501" s="31">
        <f>H501*(1-1)</f>
        <v>0</v>
      </c>
      <c r="AQ501" s="32" t="s">
        <v>52</v>
      </c>
      <c r="AV501" s="31">
        <f>AW501+AX501</f>
        <v>0</v>
      </c>
      <c r="AW501" s="31">
        <f>G501*AO501</f>
        <v>0</v>
      </c>
      <c r="AX501" s="31">
        <f>G501*AP501</f>
        <v>0</v>
      </c>
      <c r="AY501" s="32" t="s">
        <v>1044</v>
      </c>
      <c r="AZ501" s="32" t="s">
        <v>1003</v>
      </c>
      <c r="BA501" s="12" t="s">
        <v>60</v>
      </c>
      <c r="BC501" s="31">
        <f>AW501+AX501</f>
        <v>0</v>
      </c>
      <c r="BD501" s="31">
        <f>H501/(100-BE501)*100</f>
        <v>0</v>
      </c>
      <c r="BE501" s="31">
        <v>0</v>
      </c>
      <c r="BF501" s="31">
        <f>O501</f>
        <v>0.12</v>
      </c>
      <c r="BH501" s="31">
        <f>G501*AO501</f>
        <v>0</v>
      </c>
      <c r="BI501" s="31">
        <f>G501*AP501</f>
        <v>0</v>
      </c>
      <c r="BJ501" s="31">
        <f>G501*H501</f>
        <v>0</v>
      </c>
      <c r="BK501" s="31"/>
      <c r="BL501" s="31">
        <v>95</v>
      </c>
      <c r="BW501" s="31" t="str">
        <f>I501</f>
        <v>21</v>
      </c>
      <c r="BX501" s="4" t="s">
        <v>1049</v>
      </c>
    </row>
    <row r="502" spans="1:76" ht="14.35" x14ac:dyDescent="0.5">
      <c r="A502" s="34"/>
      <c r="D502" s="35" t="s">
        <v>1050</v>
      </c>
      <c r="E502" s="35" t="s">
        <v>49</v>
      </c>
      <c r="G502" s="36">
        <v>0.11</v>
      </c>
      <c r="P502" s="37"/>
    </row>
    <row r="503" spans="1:76" ht="14.35" x14ac:dyDescent="0.5">
      <c r="A503" s="34"/>
      <c r="D503" s="35" t="s">
        <v>295</v>
      </c>
      <c r="E503" s="35" t="s">
        <v>49</v>
      </c>
      <c r="G503" s="36">
        <v>0.01</v>
      </c>
      <c r="P503" s="37"/>
    </row>
    <row r="504" spans="1:76" ht="14.35" x14ac:dyDescent="0.5">
      <c r="A504" s="2" t="s">
        <v>1051</v>
      </c>
      <c r="B504" s="3" t="s">
        <v>49</v>
      </c>
      <c r="C504" s="3" t="s">
        <v>1052</v>
      </c>
      <c r="D504" s="72" t="s">
        <v>1053</v>
      </c>
      <c r="E504" s="73"/>
      <c r="F504" s="3" t="s">
        <v>179</v>
      </c>
      <c r="G504" s="31">
        <v>12</v>
      </c>
      <c r="H504" s="71"/>
      <c r="I504" s="32" t="s">
        <v>56</v>
      </c>
      <c r="J504" s="31">
        <f>G504*AO504</f>
        <v>0</v>
      </c>
      <c r="K504" s="31">
        <f>G504*AP504</f>
        <v>0</v>
      </c>
      <c r="L504" s="31">
        <f>G504*H504</f>
        <v>0</v>
      </c>
      <c r="M504" s="31">
        <f>L504*(1+BW504/100)</f>
        <v>0</v>
      </c>
      <c r="N504" s="31">
        <v>0</v>
      </c>
      <c r="O504" s="31">
        <f>G504*N504</f>
        <v>0</v>
      </c>
      <c r="P504" s="33" t="s">
        <v>57</v>
      </c>
      <c r="Z504" s="31">
        <f>IF(AQ504="5",BJ504,0)</f>
        <v>0</v>
      </c>
      <c r="AB504" s="31">
        <f>IF(AQ504="1",BH504,0)</f>
        <v>0</v>
      </c>
      <c r="AC504" s="31">
        <f>IF(AQ504="1",BI504,0)</f>
        <v>0</v>
      </c>
      <c r="AD504" s="31">
        <f>IF(AQ504="7",BH504,0)</f>
        <v>0</v>
      </c>
      <c r="AE504" s="31">
        <f>IF(AQ504="7",BI504,0)</f>
        <v>0</v>
      </c>
      <c r="AF504" s="31">
        <f>IF(AQ504="2",BH504,0)</f>
        <v>0</v>
      </c>
      <c r="AG504" s="31">
        <f>IF(AQ504="2",BI504,0)</f>
        <v>0</v>
      </c>
      <c r="AH504" s="31">
        <f>IF(AQ504="0",BJ504,0)</f>
        <v>0</v>
      </c>
      <c r="AI504" s="12" t="s">
        <v>49</v>
      </c>
      <c r="AJ504" s="31">
        <f>IF(AN504=0,L504,0)</f>
        <v>0</v>
      </c>
      <c r="AK504" s="31">
        <f>IF(AN504=12,L504,0)</f>
        <v>0</v>
      </c>
      <c r="AL504" s="31">
        <f>IF(AN504=21,L504,0)</f>
        <v>0</v>
      </c>
      <c r="AN504" s="31">
        <v>21</v>
      </c>
      <c r="AO504" s="31">
        <f>H504*0.542710472</f>
        <v>0</v>
      </c>
      <c r="AP504" s="31">
        <f>H504*(1-0.542710472)</f>
        <v>0</v>
      </c>
      <c r="AQ504" s="32" t="s">
        <v>52</v>
      </c>
      <c r="AV504" s="31">
        <f>AW504+AX504</f>
        <v>0</v>
      </c>
      <c r="AW504" s="31">
        <f>G504*AO504</f>
        <v>0</v>
      </c>
      <c r="AX504" s="31">
        <f>G504*AP504</f>
        <v>0</v>
      </c>
      <c r="AY504" s="32" t="s">
        <v>1044</v>
      </c>
      <c r="AZ504" s="32" t="s">
        <v>1003</v>
      </c>
      <c r="BA504" s="12" t="s">
        <v>60</v>
      </c>
      <c r="BC504" s="31">
        <f>AW504+AX504</f>
        <v>0</v>
      </c>
      <c r="BD504" s="31">
        <f>H504/(100-BE504)*100</f>
        <v>0</v>
      </c>
      <c r="BE504" s="31">
        <v>0</v>
      </c>
      <c r="BF504" s="31">
        <f>O504</f>
        <v>0</v>
      </c>
      <c r="BH504" s="31">
        <f>G504*AO504</f>
        <v>0</v>
      </c>
      <c r="BI504" s="31">
        <f>G504*AP504</f>
        <v>0</v>
      </c>
      <c r="BJ504" s="31">
        <f>G504*H504</f>
        <v>0</v>
      </c>
      <c r="BK504" s="31"/>
      <c r="BL504" s="31">
        <v>95</v>
      </c>
      <c r="BW504" s="31" t="str">
        <f>I504</f>
        <v>21</v>
      </c>
      <c r="BX504" s="4" t="s">
        <v>1053</v>
      </c>
    </row>
    <row r="505" spans="1:76" ht="14.35" x14ac:dyDescent="0.5">
      <c r="A505" s="34"/>
      <c r="D505" s="35" t="s">
        <v>122</v>
      </c>
      <c r="E505" s="35" t="s">
        <v>1054</v>
      </c>
      <c r="G505" s="36">
        <v>12</v>
      </c>
      <c r="P505" s="37"/>
    </row>
    <row r="506" spans="1:76" ht="14.35" x14ac:dyDescent="0.5">
      <c r="A506" s="38" t="s">
        <v>49</v>
      </c>
      <c r="B506" s="39" t="s">
        <v>49</v>
      </c>
      <c r="C506" s="39" t="s">
        <v>574</v>
      </c>
      <c r="D506" s="126" t="s">
        <v>1055</v>
      </c>
      <c r="E506" s="127"/>
      <c r="F506" s="40" t="s">
        <v>3</v>
      </c>
      <c r="G506" s="40" t="s">
        <v>3</v>
      </c>
      <c r="H506" s="40" t="s">
        <v>3</v>
      </c>
      <c r="I506" s="40" t="s">
        <v>3</v>
      </c>
      <c r="J506" s="1">
        <f>SUM(J507:J531)</f>
        <v>0</v>
      </c>
      <c r="K506" s="1">
        <f>SUM(K507:K531)</f>
        <v>0</v>
      </c>
      <c r="L506" s="1">
        <f>SUM(L507:L531)</f>
        <v>0</v>
      </c>
      <c r="M506" s="1">
        <f>SUM(M507:M531)</f>
        <v>0</v>
      </c>
      <c r="N506" s="12" t="s">
        <v>49</v>
      </c>
      <c r="O506" s="1">
        <f>SUM(O507:O531)</f>
        <v>354.35916770000006</v>
      </c>
      <c r="P506" s="41" t="s">
        <v>49</v>
      </c>
      <c r="AI506" s="12" t="s">
        <v>49</v>
      </c>
      <c r="AS506" s="1">
        <f>SUM(AJ507:AJ531)</f>
        <v>0</v>
      </c>
      <c r="AT506" s="1">
        <f>SUM(AK507:AK531)</f>
        <v>0</v>
      </c>
      <c r="AU506" s="1">
        <f>SUM(AL507:AL531)</f>
        <v>0</v>
      </c>
    </row>
    <row r="507" spans="1:76" ht="14.35" x14ac:dyDescent="0.5">
      <c r="A507" s="2" t="s">
        <v>1056</v>
      </c>
      <c r="B507" s="3" t="s">
        <v>49</v>
      </c>
      <c r="C507" s="3" t="s">
        <v>1057</v>
      </c>
      <c r="D507" s="72" t="s">
        <v>1058</v>
      </c>
      <c r="E507" s="73"/>
      <c r="F507" s="3" t="s">
        <v>55</v>
      </c>
      <c r="G507" s="31">
        <v>123.22</v>
      </c>
      <c r="H507" s="71"/>
      <c r="I507" s="32" t="s">
        <v>56</v>
      </c>
      <c r="J507" s="31">
        <f>G507*AO507</f>
        <v>0</v>
      </c>
      <c r="K507" s="31">
        <f>G507*AP507</f>
        <v>0</v>
      </c>
      <c r="L507" s="31">
        <f>G507*H507</f>
        <v>0</v>
      </c>
      <c r="M507" s="31">
        <f>L507*(1+BW507/100)</f>
        <v>0</v>
      </c>
      <c r="N507" s="31">
        <v>2.2713299999999998</v>
      </c>
      <c r="O507" s="31">
        <f>G507*N507</f>
        <v>279.87328259999998</v>
      </c>
      <c r="P507" s="33" t="s">
        <v>57</v>
      </c>
      <c r="Z507" s="31">
        <f>IF(AQ507="5",BJ507,0)</f>
        <v>0</v>
      </c>
      <c r="AB507" s="31">
        <f>IF(AQ507="1",BH507,0)</f>
        <v>0</v>
      </c>
      <c r="AC507" s="31">
        <f>IF(AQ507="1",BI507,0)</f>
        <v>0</v>
      </c>
      <c r="AD507" s="31">
        <f>IF(AQ507="7",BH507,0)</f>
        <v>0</v>
      </c>
      <c r="AE507" s="31">
        <f>IF(AQ507="7",BI507,0)</f>
        <v>0</v>
      </c>
      <c r="AF507" s="31">
        <f>IF(AQ507="2",BH507,0)</f>
        <v>0</v>
      </c>
      <c r="AG507" s="31">
        <f>IF(AQ507="2",BI507,0)</f>
        <v>0</v>
      </c>
      <c r="AH507" s="31">
        <f>IF(AQ507="0",BJ507,0)</f>
        <v>0</v>
      </c>
      <c r="AI507" s="12" t="s">
        <v>49</v>
      </c>
      <c r="AJ507" s="31">
        <f>IF(AN507=0,L507,0)</f>
        <v>0</v>
      </c>
      <c r="AK507" s="31">
        <f>IF(AN507=12,L507,0)</f>
        <v>0</v>
      </c>
      <c r="AL507" s="31">
        <f>IF(AN507=21,L507,0)</f>
        <v>0</v>
      </c>
      <c r="AN507" s="31">
        <v>21</v>
      </c>
      <c r="AO507" s="31">
        <f>H507*0.038551587</f>
        <v>0</v>
      </c>
      <c r="AP507" s="31">
        <f>H507*(1-0.038551587)</f>
        <v>0</v>
      </c>
      <c r="AQ507" s="32" t="s">
        <v>52</v>
      </c>
      <c r="AV507" s="31">
        <f>AW507+AX507</f>
        <v>0</v>
      </c>
      <c r="AW507" s="31">
        <f>G507*AO507</f>
        <v>0</v>
      </c>
      <c r="AX507" s="31">
        <f>G507*AP507</f>
        <v>0</v>
      </c>
      <c r="AY507" s="32" t="s">
        <v>1059</v>
      </c>
      <c r="AZ507" s="32" t="s">
        <v>1003</v>
      </c>
      <c r="BA507" s="12" t="s">
        <v>60</v>
      </c>
      <c r="BC507" s="31">
        <f>AW507+AX507</f>
        <v>0</v>
      </c>
      <c r="BD507" s="31">
        <f>H507/(100-BE507)*100</f>
        <v>0</v>
      </c>
      <c r="BE507" s="31">
        <v>0</v>
      </c>
      <c r="BF507" s="31">
        <f>O507</f>
        <v>279.87328259999998</v>
      </c>
      <c r="BH507" s="31">
        <f>G507*AO507</f>
        <v>0</v>
      </c>
      <c r="BI507" s="31">
        <f>G507*AP507</f>
        <v>0</v>
      </c>
      <c r="BJ507" s="31">
        <f>G507*H507</f>
        <v>0</v>
      </c>
      <c r="BK507" s="31"/>
      <c r="BL507" s="31">
        <v>96</v>
      </c>
      <c r="BW507" s="31" t="str">
        <f>I507</f>
        <v>21</v>
      </c>
      <c r="BX507" s="4" t="s">
        <v>1058</v>
      </c>
    </row>
    <row r="508" spans="1:76" ht="14.35" x14ac:dyDescent="0.5">
      <c r="A508" s="34"/>
      <c r="D508" s="35" t="s">
        <v>194</v>
      </c>
      <c r="E508" s="35" t="s">
        <v>195</v>
      </c>
      <c r="G508" s="36">
        <v>54.91</v>
      </c>
      <c r="P508" s="37"/>
    </row>
    <row r="509" spans="1:76" ht="14.35" x14ac:dyDescent="0.5">
      <c r="A509" s="34"/>
      <c r="D509" s="35" t="s">
        <v>196</v>
      </c>
      <c r="E509" s="35" t="s">
        <v>197</v>
      </c>
      <c r="G509" s="36">
        <v>2.0699999999999998</v>
      </c>
      <c r="P509" s="37"/>
    </row>
    <row r="510" spans="1:76" ht="14.35" x14ac:dyDescent="0.5">
      <c r="A510" s="34"/>
      <c r="D510" s="35" t="s">
        <v>198</v>
      </c>
      <c r="E510" s="35" t="s">
        <v>199</v>
      </c>
      <c r="G510" s="36">
        <v>27</v>
      </c>
      <c r="P510" s="37"/>
    </row>
    <row r="511" spans="1:76" ht="14.35" x14ac:dyDescent="0.5">
      <c r="A511" s="34"/>
      <c r="D511" s="35" t="s">
        <v>206</v>
      </c>
      <c r="E511" s="35" t="s">
        <v>207</v>
      </c>
      <c r="G511" s="36">
        <v>22.58</v>
      </c>
      <c r="P511" s="37"/>
    </row>
    <row r="512" spans="1:76" ht="14.35" x14ac:dyDescent="0.5">
      <c r="A512" s="34"/>
      <c r="D512" s="35" t="s">
        <v>208</v>
      </c>
      <c r="E512" s="35" t="s">
        <v>209</v>
      </c>
      <c r="G512" s="36">
        <v>12.46</v>
      </c>
      <c r="P512" s="37"/>
    </row>
    <row r="513" spans="1:76" ht="14.35" x14ac:dyDescent="0.5">
      <c r="A513" s="34"/>
      <c r="D513" s="35" t="s">
        <v>210</v>
      </c>
      <c r="E513" s="35" t="s">
        <v>211</v>
      </c>
      <c r="G513" s="36">
        <v>3.47</v>
      </c>
      <c r="P513" s="37"/>
    </row>
    <row r="514" spans="1:76" ht="14.35" x14ac:dyDescent="0.5">
      <c r="A514" s="34"/>
      <c r="D514" s="35" t="s">
        <v>212</v>
      </c>
      <c r="E514" s="35" t="s">
        <v>213</v>
      </c>
      <c r="G514" s="36">
        <v>0.73</v>
      </c>
      <c r="P514" s="37"/>
    </row>
    <row r="515" spans="1:76" ht="14.35" x14ac:dyDescent="0.5">
      <c r="A515" s="2" t="s">
        <v>1060</v>
      </c>
      <c r="B515" s="3" t="s">
        <v>49</v>
      </c>
      <c r="C515" s="3" t="s">
        <v>1061</v>
      </c>
      <c r="D515" s="72" t="s">
        <v>1062</v>
      </c>
      <c r="E515" s="73"/>
      <c r="F515" s="3" t="s">
        <v>55</v>
      </c>
      <c r="G515" s="31">
        <v>0.51</v>
      </c>
      <c r="H515" s="71"/>
      <c r="I515" s="32" t="s">
        <v>56</v>
      </c>
      <c r="J515" s="31">
        <f>G515*AO515</f>
        <v>0</v>
      </c>
      <c r="K515" s="31">
        <f>G515*AP515</f>
        <v>0</v>
      </c>
      <c r="L515" s="31">
        <f>G515*H515</f>
        <v>0</v>
      </c>
      <c r="M515" s="31">
        <f>L515*(1+BW515/100)</f>
        <v>0</v>
      </c>
      <c r="N515" s="31">
        <v>1.5940000000000001</v>
      </c>
      <c r="O515" s="31">
        <f>G515*N515</f>
        <v>0.81294000000000011</v>
      </c>
      <c r="P515" s="33" t="s">
        <v>57</v>
      </c>
      <c r="Z515" s="31">
        <f>IF(AQ515="5",BJ515,0)</f>
        <v>0</v>
      </c>
      <c r="AB515" s="31">
        <f>IF(AQ515="1",BH515,0)</f>
        <v>0</v>
      </c>
      <c r="AC515" s="31">
        <f>IF(AQ515="1",BI515,0)</f>
        <v>0</v>
      </c>
      <c r="AD515" s="31">
        <f>IF(AQ515="7",BH515,0)</f>
        <v>0</v>
      </c>
      <c r="AE515" s="31">
        <f>IF(AQ515="7",BI515,0)</f>
        <v>0</v>
      </c>
      <c r="AF515" s="31">
        <f>IF(AQ515="2",BH515,0)</f>
        <v>0</v>
      </c>
      <c r="AG515" s="31">
        <f>IF(AQ515="2",BI515,0)</f>
        <v>0</v>
      </c>
      <c r="AH515" s="31">
        <f>IF(AQ515="0",BJ515,0)</f>
        <v>0</v>
      </c>
      <c r="AI515" s="12" t="s">
        <v>49</v>
      </c>
      <c r="AJ515" s="31">
        <f>IF(AN515=0,L515,0)</f>
        <v>0</v>
      </c>
      <c r="AK515" s="31">
        <f>IF(AN515=12,L515,0)</f>
        <v>0</v>
      </c>
      <c r="AL515" s="31">
        <f>IF(AN515=21,L515,0)</f>
        <v>0</v>
      </c>
      <c r="AN515" s="31">
        <v>21</v>
      </c>
      <c r="AO515" s="31">
        <f>H515*0</f>
        <v>0</v>
      </c>
      <c r="AP515" s="31">
        <f>H515*(1-0)</f>
        <v>0</v>
      </c>
      <c r="AQ515" s="32" t="s">
        <v>52</v>
      </c>
      <c r="AV515" s="31">
        <f>AW515+AX515</f>
        <v>0</v>
      </c>
      <c r="AW515" s="31">
        <f>G515*AO515</f>
        <v>0</v>
      </c>
      <c r="AX515" s="31">
        <f>G515*AP515</f>
        <v>0</v>
      </c>
      <c r="AY515" s="32" t="s">
        <v>1059</v>
      </c>
      <c r="AZ515" s="32" t="s">
        <v>1003</v>
      </c>
      <c r="BA515" s="12" t="s">
        <v>60</v>
      </c>
      <c r="BC515" s="31">
        <f>AW515+AX515</f>
        <v>0</v>
      </c>
      <c r="BD515" s="31">
        <f>H515/(100-BE515)*100</f>
        <v>0</v>
      </c>
      <c r="BE515" s="31">
        <v>0</v>
      </c>
      <c r="BF515" s="31">
        <f>O515</f>
        <v>0.81294000000000011</v>
      </c>
      <c r="BH515" s="31">
        <f>G515*AO515</f>
        <v>0</v>
      </c>
      <c r="BI515" s="31">
        <f>G515*AP515</f>
        <v>0</v>
      </c>
      <c r="BJ515" s="31">
        <f>G515*H515</f>
        <v>0</v>
      </c>
      <c r="BK515" s="31"/>
      <c r="BL515" s="31">
        <v>96</v>
      </c>
      <c r="BW515" s="31" t="str">
        <f>I515</f>
        <v>21</v>
      </c>
      <c r="BX515" s="4" t="s">
        <v>1062</v>
      </c>
    </row>
    <row r="516" spans="1:76" ht="14.35" x14ac:dyDescent="0.5">
      <c r="A516" s="34"/>
      <c r="D516" s="35" t="s">
        <v>1063</v>
      </c>
      <c r="E516" s="35" t="s">
        <v>49</v>
      </c>
      <c r="G516" s="36">
        <v>0.51</v>
      </c>
      <c r="P516" s="37"/>
    </row>
    <row r="517" spans="1:76" ht="14.35" x14ac:dyDescent="0.5">
      <c r="A517" s="2" t="s">
        <v>1064</v>
      </c>
      <c r="B517" s="3" t="s">
        <v>49</v>
      </c>
      <c r="C517" s="3" t="s">
        <v>1065</v>
      </c>
      <c r="D517" s="72" t="s">
        <v>1066</v>
      </c>
      <c r="E517" s="73"/>
      <c r="F517" s="3" t="s">
        <v>55</v>
      </c>
      <c r="G517" s="31">
        <v>0.43</v>
      </c>
      <c r="H517" s="71"/>
      <c r="I517" s="32" t="s">
        <v>56</v>
      </c>
      <c r="J517" s="31">
        <f>G517*AO517</f>
        <v>0</v>
      </c>
      <c r="K517" s="31">
        <f>G517*AP517</f>
        <v>0</v>
      </c>
      <c r="L517" s="31">
        <f>G517*H517</f>
        <v>0</v>
      </c>
      <c r="M517" s="31">
        <f>L517*(1+BW517/100)</f>
        <v>0</v>
      </c>
      <c r="N517" s="31">
        <v>2.2000000000000002</v>
      </c>
      <c r="O517" s="31">
        <f>G517*N517</f>
        <v>0.94600000000000006</v>
      </c>
      <c r="P517" s="33" t="s">
        <v>57</v>
      </c>
      <c r="Z517" s="31">
        <f>IF(AQ517="5",BJ517,0)</f>
        <v>0</v>
      </c>
      <c r="AB517" s="31">
        <f>IF(AQ517="1",BH517,0)</f>
        <v>0</v>
      </c>
      <c r="AC517" s="31">
        <f>IF(AQ517="1",BI517,0)</f>
        <v>0</v>
      </c>
      <c r="AD517" s="31">
        <f>IF(AQ517="7",BH517,0)</f>
        <v>0</v>
      </c>
      <c r="AE517" s="31">
        <f>IF(AQ517="7",BI517,0)</f>
        <v>0</v>
      </c>
      <c r="AF517" s="31">
        <f>IF(AQ517="2",BH517,0)</f>
        <v>0</v>
      </c>
      <c r="AG517" s="31">
        <f>IF(AQ517="2",BI517,0)</f>
        <v>0</v>
      </c>
      <c r="AH517" s="31">
        <f>IF(AQ517="0",BJ517,0)</f>
        <v>0</v>
      </c>
      <c r="AI517" s="12" t="s">
        <v>49</v>
      </c>
      <c r="AJ517" s="31">
        <f>IF(AN517=0,L517,0)</f>
        <v>0</v>
      </c>
      <c r="AK517" s="31">
        <f>IF(AN517=12,L517,0)</f>
        <v>0</v>
      </c>
      <c r="AL517" s="31">
        <f>IF(AN517=21,L517,0)</f>
        <v>0</v>
      </c>
      <c r="AN517" s="31">
        <v>21</v>
      </c>
      <c r="AO517" s="31">
        <f>H517*0</f>
        <v>0</v>
      </c>
      <c r="AP517" s="31">
        <f>H517*(1-0)</f>
        <v>0</v>
      </c>
      <c r="AQ517" s="32" t="s">
        <v>52</v>
      </c>
      <c r="AV517" s="31">
        <f>AW517+AX517</f>
        <v>0</v>
      </c>
      <c r="AW517" s="31">
        <f>G517*AO517</f>
        <v>0</v>
      </c>
      <c r="AX517" s="31">
        <f>G517*AP517</f>
        <v>0</v>
      </c>
      <c r="AY517" s="32" t="s">
        <v>1059</v>
      </c>
      <c r="AZ517" s="32" t="s">
        <v>1003</v>
      </c>
      <c r="BA517" s="12" t="s">
        <v>60</v>
      </c>
      <c r="BC517" s="31">
        <f>AW517+AX517</f>
        <v>0</v>
      </c>
      <c r="BD517" s="31">
        <f>H517/(100-BE517)*100</f>
        <v>0</v>
      </c>
      <c r="BE517" s="31">
        <v>0</v>
      </c>
      <c r="BF517" s="31">
        <f>O517</f>
        <v>0.94600000000000006</v>
      </c>
      <c r="BH517" s="31">
        <f>G517*AO517</f>
        <v>0</v>
      </c>
      <c r="BI517" s="31">
        <f>G517*AP517</f>
        <v>0</v>
      </c>
      <c r="BJ517" s="31">
        <f>G517*H517</f>
        <v>0</v>
      </c>
      <c r="BK517" s="31"/>
      <c r="BL517" s="31">
        <v>96</v>
      </c>
      <c r="BW517" s="31" t="str">
        <f>I517</f>
        <v>21</v>
      </c>
      <c r="BX517" s="4" t="s">
        <v>1066</v>
      </c>
    </row>
    <row r="518" spans="1:76" ht="14.35" x14ac:dyDescent="0.5">
      <c r="A518" s="34"/>
      <c r="D518" s="35" t="s">
        <v>414</v>
      </c>
      <c r="E518" s="35" t="s">
        <v>415</v>
      </c>
      <c r="G518" s="36">
        <v>0.43</v>
      </c>
      <c r="P518" s="37"/>
    </row>
    <row r="519" spans="1:76" ht="14.35" x14ac:dyDescent="0.5">
      <c r="A519" s="2" t="s">
        <v>1067</v>
      </c>
      <c r="B519" s="3" t="s">
        <v>49</v>
      </c>
      <c r="C519" s="3" t="s">
        <v>1068</v>
      </c>
      <c r="D519" s="72" t="s">
        <v>1069</v>
      </c>
      <c r="E519" s="73"/>
      <c r="F519" s="3" t="s">
        <v>55</v>
      </c>
      <c r="G519" s="31">
        <v>33</v>
      </c>
      <c r="H519" s="71"/>
      <c r="I519" s="32" t="s">
        <v>56</v>
      </c>
      <c r="J519" s="31">
        <f>G519*AO519</f>
        <v>0</v>
      </c>
      <c r="K519" s="31">
        <f>G519*AP519</f>
        <v>0</v>
      </c>
      <c r="L519" s="31">
        <f>G519*H519</f>
        <v>0</v>
      </c>
      <c r="M519" s="31">
        <f>L519*(1+BW519/100)</f>
        <v>0</v>
      </c>
      <c r="N519" s="31">
        <v>1.6</v>
      </c>
      <c r="O519" s="31">
        <f>G519*N519</f>
        <v>52.800000000000004</v>
      </c>
      <c r="P519" s="33" t="s">
        <v>57</v>
      </c>
      <c r="Z519" s="31">
        <f>IF(AQ519="5",BJ519,0)</f>
        <v>0</v>
      </c>
      <c r="AB519" s="31">
        <f>IF(AQ519="1",BH519,0)</f>
        <v>0</v>
      </c>
      <c r="AC519" s="31">
        <f>IF(AQ519="1",BI519,0)</f>
        <v>0</v>
      </c>
      <c r="AD519" s="31">
        <f>IF(AQ519="7",BH519,0)</f>
        <v>0</v>
      </c>
      <c r="AE519" s="31">
        <f>IF(AQ519="7",BI519,0)</f>
        <v>0</v>
      </c>
      <c r="AF519" s="31">
        <f>IF(AQ519="2",BH519,0)</f>
        <v>0</v>
      </c>
      <c r="AG519" s="31">
        <f>IF(AQ519="2",BI519,0)</f>
        <v>0</v>
      </c>
      <c r="AH519" s="31">
        <f>IF(AQ519="0",BJ519,0)</f>
        <v>0</v>
      </c>
      <c r="AI519" s="12" t="s">
        <v>49</v>
      </c>
      <c r="AJ519" s="31">
        <f>IF(AN519=0,L519,0)</f>
        <v>0</v>
      </c>
      <c r="AK519" s="31">
        <f>IF(AN519=12,L519,0)</f>
        <v>0</v>
      </c>
      <c r="AL519" s="31">
        <f>IF(AN519=21,L519,0)</f>
        <v>0</v>
      </c>
      <c r="AN519" s="31">
        <v>21</v>
      </c>
      <c r="AO519" s="31">
        <f>H519*0</f>
        <v>0</v>
      </c>
      <c r="AP519" s="31">
        <f>H519*(1-0)</f>
        <v>0</v>
      </c>
      <c r="AQ519" s="32" t="s">
        <v>52</v>
      </c>
      <c r="AV519" s="31">
        <f>AW519+AX519</f>
        <v>0</v>
      </c>
      <c r="AW519" s="31">
        <f>G519*AO519</f>
        <v>0</v>
      </c>
      <c r="AX519" s="31">
        <f>G519*AP519</f>
        <v>0</v>
      </c>
      <c r="AY519" s="32" t="s">
        <v>1059</v>
      </c>
      <c r="AZ519" s="32" t="s">
        <v>1003</v>
      </c>
      <c r="BA519" s="12" t="s">
        <v>60</v>
      </c>
      <c r="BC519" s="31">
        <f>AW519+AX519</f>
        <v>0</v>
      </c>
      <c r="BD519" s="31">
        <f>H519/(100-BE519)*100</f>
        <v>0</v>
      </c>
      <c r="BE519" s="31">
        <v>0</v>
      </c>
      <c r="BF519" s="31">
        <f>O519</f>
        <v>52.800000000000004</v>
      </c>
      <c r="BH519" s="31">
        <f>G519*AO519</f>
        <v>0</v>
      </c>
      <c r="BI519" s="31">
        <f>G519*AP519</f>
        <v>0</v>
      </c>
      <c r="BJ519" s="31">
        <f>G519*H519</f>
        <v>0</v>
      </c>
      <c r="BK519" s="31"/>
      <c r="BL519" s="31">
        <v>96</v>
      </c>
      <c r="BW519" s="31" t="str">
        <f>I519</f>
        <v>21</v>
      </c>
      <c r="BX519" s="4" t="s">
        <v>1069</v>
      </c>
    </row>
    <row r="520" spans="1:76" ht="14.35" x14ac:dyDescent="0.5">
      <c r="A520" s="34"/>
      <c r="D520" s="35" t="s">
        <v>424</v>
      </c>
      <c r="E520" s="35" t="s">
        <v>425</v>
      </c>
      <c r="G520" s="36">
        <v>33</v>
      </c>
      <c r="P520" s="37"/>
    </row>
    <row r="521" spans="1:76" ht="14.35" x14ac:dyDescent="0.5">
      <c r="A521" s="2" t="s">
        <v>1070</v>
      </c>
      <c r="B521" s="3" t="s">
        <v>49</v>
      </c>
      <c r="C521" s="3" t="s">
        <v>1071</v>
      </c>
      <c r="D521" s="72" t="s">
        <v>1072</v>
      </c>
      <c r="E521" s="73"/>
      <c r="F521" s="3" t="s">
        <v>125</v>
      </c>
      <c r="G521" s="31">
        <v>1.49</v>
      </c>
      <c r="H521" s="71"/>
      <c r="I521" s="32" t="s">
        <v>56</v>
      </c>
      <c r="J521" s="31">
        <f>G521*AO521</f>
        <v>0</v>
      </c>
      <c r="K521" s="31">
        <f>G521*AP521</f>
        <v>0</v>
      </c>
      <c r="L521" s="31">
        <f>G521*H521</f>
        <v>0</v>
      </c>
      <c r="M521" s="31">
        <f>L521*(1+BW521/100)</f>
        <v>0</v>
      </c>
      <c r="N521" s="31">
        <v>7.7189999999999995E-2</v>
      </c>
      <c r="O521" s="31">
        <f>G521*N521</f>
        <v>0.11501309999999999</v>
      </c>
      <c r="P521" s="33" t="s">
        <v>57</v>
      </c>
      <c r="Z521" s="31">
        <f>IF(AQ521="5",BJ521,0)</f>
        <v>0</v>
      </c>
      <c r="AB521" s="31">
        <f>IF(AQ521="1",BH521,0)</f>
        <v>0</v>
      </c>
      <c r="AC521" s="31">
        <f>IF(AQ521="1",BI521,0)</f>
        <v>0</v>
      </c>
      <c r="AD521" s="31">
        <f>IF(AQ521="7",BH521,0)</f>
        <v>0</v>
      </c>
      <c r="AE521" s="31">
        <f>IF(AQ521="7",BI521,0)</f>
        <v>0</v>
      </c>
      <c r="AF521" s="31">
        <f>IF(AQ521="2",BH521,0)</f>
        <v>0</v>
      </c>
      <c r="AG521" s="31">
        <f>IF(AQ521="2",BI521,0)</f>
        <v>0</v>
      </c>
      <c r="AH521" s="31">
        <f>IF(AQ521="0",BJ521,0)</f>
        <v>0</v>
      </c>
      <c r="AI521" s="12" t="s">
        <v>49</v>
      </c>
      <c r="AJ521" s="31">
        <f>IF(AN521=0,L521,0)</f>
        <v>0</v>
      </c>
      <c r="AK521" s="31">
        <f>IF(AN521=12,L521,0)</f>
        <v>0</v>
      </c>
      <c r="AL521" s="31">
        <f>IF(AN521=21,L521,0)</f>
        <v>0</v>
      </c>
      <c r="AN521" s="31">
        <v>21</v>
      </c>
      <c r="AO521" s="31">
        <f>H521*0.126043307</f>
        <v>0</v>
      </c>
      <c r="AP521" s="31">
        <f>H521*(1-0.126043307)</f>
        <v>0</v>
      </c>
      <c r="AQ521" s="32" t="s">
        <v>52</v>
      </c>
      <c r="AV521" s="31">
        <f>AW521+AX521</f>
        <v>0</v>
      </c>
      <c r="AW521" s="31">
        <f>G521*AO521</f>
        <v>0</v>
      </c>
      <c r="AX521" s="31">
        <f>G521*AP521</f>
        <v>0</v>
      </c>
      <c r="AY521" s="32" t="s">
        <v>1059</v>
      </c>
      <c r="AZ521" s="32" t="s">
        <v>1003</v>
      </c>
      <c r="BA521" s="12" t="s">
        <v>60</v>
      </c>
      <c r="BC521" s="31">
        <f>AW521+AX521</f>
        <v>0</v>
      </c>
      <c r="BD521" s="31">
        <f>H521/(100-BE521)*100</f>
        <v>0</v>
      </c>
      <c r="BE521" s="31">
        <v>0</v>
      </c>
      <c r="BF521" s="31">
        <f>O521</f>
        <v>0.11501309999999999</v>
      </c>
      <c r="BH521" s="31">
        <f>G521*AO521</f>
        <v>0</v>
      </c>
      <c r="BI521" s="31">
        <f>G521*AP521</f>
        <v>0</v>
      </c>
      <c r="BJ521" s="31">
        <f>G521*H521</f>
        <v>0</v>
      </c>
      <c r="BK521" s="31"/>
      <c r="BL521" s="31">
        <v>96</v>
      </c>
      <c r="BW521" s="31" t="str">
        <f>I521</f>
        <v>21</v>
      </c>
      <c r="BX521" s="4" t="s">
        <v>1072</v>
      </c>
    </row>
    <row r="522" spans="1:76" ht="14.35" x14ac:dyDescent="0.5">
      <c r="A522" s="34"/>
      <c r="D522" s="35" t="s">
        <v>1073</v>
      </c>
      <c r="E522" s="35" t="s">
        <v>1074</v>
      </c>
      <c r="G522" s="36">
        <v>1.49</v>
      </c>
      <c r="P522" s="37"/>
    </row>
    <row r="523" spans="1:76" ht="14.35" x14ac:dyDescent="0.5">
      <c r="A523" s="2" t="s">
        <v>1075</v>
      </c>
      <c r="B523" s="3" t="s">
        <v>49</v>
      </c>
      <c r="C523" s="3" t="s">
        <v>1076</v>
      </c>
      <c r="D523" s="72" t="s">
        <v>1077</v>
      </c>
      <c r="E523" s="73"/>
      <c r="F523" s="3" t="s">
        <v>125</v>
      </c>
      <c r="G523" s="31">
        <v>1.6</v>
      </c>
      <c r="H523" s="71"/>
      <c r="I523" s="32" t="s">
        <v>56</v>
      </c>
      <c r="J523" s="31">
        <f>G523*AO523</f>
        <v>0</v>
      </c>
      <c r="K523" s="31">
        <f>G523*AP523</f>
        <v>0</v>
      </c>
      <c r="L523" s="31">
        <f>G523*H523</f>
        <v>0</v>
      </c>
      <c r="M523" s="31">
        <f>L523*(1+BW523/100)</f>
        <v>0</v>
      </c>
      <c r="N523" s="31">
        <v>8.9169999999999999E-2</v>
      </c>
      <c r="O523" s="31">
        <f>G523*N523</f>
        <v>0.14267199999999999</v>
      </c>
      <c r="P523" s="33" t="s">
        <v>57</v>
      </c>
      <c r="Z523" s="31">
        <f>IF(AQ523="5",BJ523,0)</f>
        <v>0</v>
      </c>
      <c r="AB523" s="31">
        <f>IF(AQ523="1",BH523,0)</f>
        <v>0</v>
      </c>
      <c r="AC523" s="31">
        <f>IF(AQ523="1",BI523,0)</f>
        <v>0</v>
      </c>
      <c r="AD523" s="31">
        <f>IF(AQ523="7",BH523,0)</f>
        <v>0</v>
      </c>
      <c r="AE523" s="31">
        <f>IF(AQ523="7",BI523,0)</f>
        <v>0</v>
      </c>
      <c r="AF523" s="31">
        <f>IF(AQ523="2",BH523,0)</f>
        <v>0</v>
      </c>
      <c r="AG523" s="31">
        <f>IF(AQ523="2",BI523,0)</f>
        <v>0</v>
      </c>
      <c r="AH523" s="31">
        <f>IF(AQ523="0",BJ523,0)</f>
        <v>0</v>
      </c>
      <c r="AI523" s="12" t="s">
        <v>49</v>
      </c>
      <c r="AJ523" s="31">
        <f>IF(AN523=0,L523,0)</f>
        <v>0</v>
      </c>
      <c r="AK523" s="31">
        <f>IF(AN523=12,L523,0)</f>
        <v>0</v>
      </c>
      <c r="AL523" s="31">
        <f>IF(AN523=21,L523,0)</f>
        <v>0</v>
      </c>
      <c r="AN523" s="31">
        <v>21</v>
      </c>
      <c r="AO523" s="31">
        <f>H523*0.117020548</f>
        <v>0</v>
      </c>
      <c r="AP523" s="31">
        <f>H523*(1-0.117020548)</f>
        <v>0</v>
      </c>
      <c r="AQ523" s="32" t="s">
        <v>52</v>
      </c>
      <c r="AV523" s="31">
        <f>AW523+AX523</f>
        <v>0</v>
      </c>
      <c r="AW523" s="31">
        <f>G523*AO523</f>
        <v>0</v>
      </c>
      <c r="AX523" s="31">
        <f>G523*AP523</f>
        <v>0</v>
      </c>
      <c r="AY523" s="32" t="s">
        <v>1059</v>
      </c>
      <c r="AZ523" s="32" t="s">
        <v>1003</v>
      </c>
      <c r="BA523" s="12" t="s">
        <v>60</v>
      </c>
      <c r="BC523" s="31">
        <f>AW523+AX523</f>
        <v>0</v>
      </c>
      <c r="BD523" s="31">
        <f>H523/(100-BE523)*100</f>
        <v>0</v>
      </c>
      <c r="BE523" s="31">
        <v>0</v>
      </c>
      <c r="BF523" s="31">
        <f>O523</f>
        <v>0.14267199999999999</v>
      </c>
      <c r="BH523" s="31">
        <f>G523*AO523</f>
        <v>0</v>
      </c>
      <c r="BI523" s="31">
        <f>G523*AP523</f>
        <v>0</v>
      </c>
      <c r="BJ523" s="31">
        <f>G523*H523</f>
        <v>0</v>
      </c>
      <c r="BK523" s="31"/>
      <c r="BL523" s="31">
        <v>96</v>
      </c>
      <c r="BW523" s="31" t="str">
        <f>I523</f>
        <v>21</v>
      </c>
      <c r="BX523" s="4" t="s">
        <v>1077</v>
      </c>
    </row>
    <row r="524" spans="1:76" ht="14.35" x14ac:dyDescent="0.5">
      <c r="A524" s="34"/>
      <c r="D524" s="35" t="s">
        <v>925</v>
      </c>
      <c r="E524" s="35" t="s">
        <v>1078</v>
      </c>
      <c r="G524" s="36">
        <v>1.6</v>
      </c>
      <c r="P524" s="37"/>
    </row>
    <row r="525" spans="1:76" ht="14.35" x14ac:dyDescent="0.5">
      <c r="A525" s="2" t="s">
        <v>1079</v>
      </c>
      <c r="B525" s="3" t="s">
        <v>49</v>
      </c>
      <c r="C525" s="3" t="s">
        <v>1080</v>
      </c>
      <c r="D525" s="72" t="s">
        <v>1081</v>
      </c>
      <c r="E525" s="73"/>
      <c r="F525" s="3" t="s">
        <v>179</v>
      </c>
      <c r="G525" s="31">
        <v>4</v>
      </c>
      <c r="H525" s="71"/>
      <c r="I525" s="32" t="s">
        <v>56</v>
      </c>
      <c r="J525" s="31">
        <f>G525*AO525</f>
        <v>0</v>
      </c>
      <c r="K525" s="31">
        <f>G525*AP525</f>
        <v>0</v>
      </c>
      <c r="L525" s="31">
        <f>G525*H525</f>
        <v>0</v>
      </c>
      <c r="M525" s="31">
        <f>L525*(1+BW525/100)</f>
        <v>0</v>
      </c>
      <c r="N525" s="31">
        <v>0</v>
      </c>
      <c r="O525" s="31">
        <f>G525*N525</f>
        <v>0</v>
      </c>
      <c r="P525" s="33" t="s">
        <v>57</v>
      </c>
      <c r="Z525" s="31">
        <f>IF(AQ525="5",BJ525,0)</f>
        <v>0</v>
      </c>
      <c r="AB525" s="31">
        <f>IF(AQ525="1",BH525,0)</f>
        <v>0</v>
      </c>
      <c r="AC525" s="31">
        <f>IF(AQ525="1",BI525,0)</f>
        <v>0</v>
      </c>
      <c r="AD525" s="31">
        <f>IF(AQ525="7",BH525,0)</f>
        <v>0</v>
      </c>
      <c r="AE525" s="31">
        <f>IF(AQ525="7",BI525,0)</f>
        <v>0</v>
      </c>
      <c r="AF525" s="31">
        <f>IF(AQ525="2",BH525,0)</f>
        <v>0</v>
      </c>
      <c r="AG525" s="31">
        <f>IF(AQ525="2",BI525,0)</f>
        <v>0</v>
      </c>
      <c r="AH525" s="31">
        <f>IF(AQ525="0",BJ525,0)</f>
        <v>0</v>
      </c>
      <c r="AI525" s="12" t="s">
        <v>49</v>
      </c>
      <c r="AJ525" s="31">
        <f>IF(AN525=0,L525,0)</f>
        <v>0</v>
      </c>
      <c r="AK525" s="31">
        <f>IF(AN525=12,L525,0)</f>
        <v>0</v>
      </c>
      <c r="AL525" s="31">
        <f>IF(AN525=21,L525,0)</f>
        <v>0</v>
      </c>
      <c r="AN525" s="31">
        <v>21</v>
      </c>
      <c r="AO525" s="31">
        <f>H525*0</f>
        <v>0</v>
      </c>
      <c r="AP525" s="31">
        <f>H525*(1-0)</f>
        <v>0</v>
      </c>
      <c r="AQ525" s="32" t="s">
        <v>52</v>
      </c>
      <c r="AV525" s="31">
        <f>AW525+AX525</f>
        <v>0</v>
      </c>
      <c r="AW525" s="31">
        <f>G525*AO525</f>
        <v>0</v>
      </c>
      <c r="AX525" s="31">
        <f>G525*AP525</f>
        <v>0</v>
      </c>
      <c r="AY525" s="32" t="s">
        <v>1059</v>
      </c>
      <c r="AZ525" s="32" t="s">
        <v>1003</v>
      </c>
      <c r="BA525" s="12" t="s">
        <v>60</v>
      </c>
      <c r="BC525" s="31">
        <f>AW525+AX525</f>
        <v>0</v>
      </c>
      <c r="BD525" s="31">
        <f>H525/(100-BE525)*100</f>
        <v>0</v>
      </c>
      <c r="BE525" s="31">
        <v>0</v>
      </c>
      <c r="BF525" s="31">
        <f>O525</f>
        <v>0</v>
      </c>
      <c r="BH525" s="31">
        <f>G525*AO525</f>
        <v>0</v>
      </c>
      <c r="BI525" s="31">
        <f>G525*AP525</f>
        <v>0</v>
      </c>
      <c r="BJ525" s="31">
        <f>G525*H525</f>
        <v>0</v>
      </c>
      <c r="BK525" s="31"/>
      <c r="BL525" s="31">
        <v>96</v>
      </c>
      <c r="BW525" s="31" t="str">
        <f>I525</f>
        <v>21</v>
      </c>
      <c r="BX525" s="4" t="s">
        <v>1081</v>
      </c>
    </row>
    <row r="526" spans="1:76" ht="14.35" x14ac:dyDescent="0.5">
      <c r="A526" s="2" t="s">
        <v>1082</v>
      </c>
      <c r="B526" s="3" t="s">
        <v>49</v>
      </c>
      <c r="C526" s="3" t="s">
        <v>1083</v>
      </c>
      <c r="D526" s="72" t="s">
        <v>1084</v>
      </c>
      <c r="E526" s="73"/>
      <c r="F526" s="3" t="s">
        <v>179</v>
      </c>
      <c r="G526" s="31">
        <v>1</v>
      </c>
      <c r="H526" s="71"/>
      <c r="I526" s="32" t="s">
        <v>56</v>
      </c>
      <c r="J526" s="31">
        <f>G526*AO526</f>
        <v>0</v>
      </c>
      <c r="K526" s="31">
        <f>G526*AP526</f>
        <v>0</v>
      </c>
      <c r="L526" s="31">
        <f>G526*H526</f>
        <v>0</v>
      </c>
      <c r="M526" s="31">
        <f>L526*(1+BW526/100)</f>
        <v>0</v>
      </c>
      <c r="N526" s="31">
        <v>0</v>
      </c>
      <c r="O526" s="31">
        <f>G526*N526</f>
        <v>0</v>
      </c>
      <c r="P526" s="33" t="s">
        <v>57</v>
      </c>
      <c r="Z526" s="31">
        <f>IF(AQ526="5",BJ526,0)</f>
        <v>0</v>
      </c>
      <c r="AB526" s="31">
        <f>IF(AQ526="1",BH526,0)</f>
        <v>0</v>
      </c>
      <c r="AC526" s="31">
        <f>IF(AQ526="1",BI526,0)</f>
        <v>0</v>
      </c>
      <c r="AD526" s="31">
        <f>IF(AQ526="7",BH526,0)</f>
        <v>0</v>
      </c>
      <c r="AE526" s="31">
        <f>IF(AQ526="7",BI526,0)</f>
        <v>0</v>
      </c>
      <c r="AF526" s="31">
        <f>IF(AQ526="2",BH526,0)</f>
        <v>0</v>
      </c>
      <c r="AG526" s="31">
        <f>IF(AQ526="2",BI526,0)</f>
        <v>0</v>
      </c>
      <c r="AH526" s="31">
        <f>IF(AQ526="0",BJ526,0)</f>
        <v>0</v>
      </c>
      <c r="AI526" s="12" t="s">
        <v>49</v>
      </c>
      <c r="AJ526" s="31">
        <f>IF(AN526=0,L526,0)</f>
        <v>0</v>
      </c>
      <c r="AK526" s="31">
        <f>IF(AN526=12,L526,0)</f>
        <v>0</v>
      </c>
      <c r="AL526" s="31">
        <f>IF(AN526=21,L526,0)</f>
        <v>0</v>
      </c>
      <c r="AN526" s="31">
        <v>21</v>
      </c>
      <c r="AO526" s="31">
        <f>H526*0</f>
        <v>0</v>
      </c>
      <c r="AP526" s="31">
        <f>H526*(1-0)</f>
        <v>0</v>
      </c>
      <c r="AQ526" s="32" t="s">
        <v>52</v>
      </c>
      <c r="AV526" s="31">
        <f>AW526+AX526</f>
        <v>0</v>
      </c>
      <c r="AW526" s="31">
        <f>G526*AO526</f>
        <v>0</v>
      </c>
      <c r="AX526" s="31">
        <f>G526*AP526</f>
        <v>0</v>
      </c>
      <c r="AY526" s="32" t="s">
        <v>1059</v>
      </c>
      <c r="AZ526" s="32" t="s">
        <v>1003</v>
      </c>
      <c r="BA526" s="12" t="s">
        <v>60</v>
      </c>
      <c r="BC526" s="31">
        <f>AW526+AX526</f>
        <v>0</v>
      </c>
      <c r="BD526" s="31">
        <f>H526/(100-BE526)*100</f>
        <v>0</v>
      </c>
      <c r="BE526" s="31">
        <v>0</v>
      </c>
      <c r="BF526" s="31">
        <f>O526</f>
        <v>0</v>
      </c>
      <c r="BH526" s="31">
        <f>G526*AO526</f>
        <v>0</v>
      </c>
      <c r="BI526" s="31">
        <f>G526*AP526</f>
        <v>0</v>
      </c>
      <c r="BJ526" s="31">
        <f>G526*H526</f>
        <v>0</v>
      </c>
      <c r="BK526" s="31"/>
      <c r="BL526" s="31">
        <v>96</v>
      </c>
      <c r="BW526" s="31" t="str">
        <f>I526</f>
        <v>21</v>
      </c>
      <c r="BX526" s="4" t="s">
        <v>1084</v>
      </c>
    </row>
    <row r="527" spans="1:76" ht="14.35" x14ac:dyDescent="0.5">
      <c r="A527" s="2" t="s">
        <v>1085</v>
      </c>
      <c r="B527" s="3" t="s">
        <v>49</v>
      </c>
      <c r="C527" s="3" t="s">
        <v>1086</v>
      </c>
      <c r="D527" s="72" t="s">
        <v>1087</v>
      </c>
      <c r="E527" s="73"/>
      <c r="F527" s="3" t="s">
        <v>55</v>
      </c>
      <c r="G527" s="31">
        <v>3.14</v>
      </c>
      <c r="H527" s="71"/>
      <c r="I527" s="32" t="s">
        <v>56</v>
      </c>
      <c r="J527" s="31">
        <f>G527*AO527</f>
        <v>0</v>
      </c>
      <c r="K527" s="31">
        <f>G527*AP527</f>
        <v>0</v>
      </c>
      <c r="L527" s="31">
        <f>G527*H527</f>
        <v>0</v>
      </c>
      <c r="M527" s="31">
        <f>L527*(1+BW527/100)</f>
        <v>0</v>
      </c>
      <c r="N527" s="31">
        <v>1.671</v>
      </c>
      <c r="O527" s="31">
        <f>G527*N527</f>
        <v>5.2469400000000004</v>
      </c>
      <c r="P527" s="33" t="s">
        <v>57</v>
      </c>
      <c r="Z527" s="31">
        <f>IF(AQ527="5",BJ527,0)</f>
        <v>0</v>
      </c>
      <c r="AB527" s="31">
        <f>IF(AQ527="1",BH527,0)</f>
        <v>0</v>
      </c>
      <c r="AC527" s="31">
        <f>IF(AQ527="1",BI527,0)</f>
        <v>0</v>
      </c>
      <c r="AD527" s="31">
        <f>IF(AQ527="7",BH527,0)</f>
        <v>0</v>
      </c>
      <c r="AE527" s="31">
        <f>IF(AQ527="7",BI527,0)</f>
        <v>0</v>
      </c>
      <c r="AF527" s="31">
        <f>IF(AQ527="2",BH527,0)</f>
        <v>0</v>
      </c>
      <c r="AG527" s="31">
        <f>IF(AQ527="2",BI527,0)</f>
        <v>0</v>
      </c>
      <c r="AH527" s="31">
        <f>IF(AQ527="0",BJ527,0)</f>
        <v>0</v>
      </c>
      <c r="AI527" s="12" t="s">
        <v>49</v>
      </c>
      <c r="AJ527" s="31">
        <f>IF(AN527=0,L527,0)</f>
        <v>0</v>
      </c>
      <c r="AK527" s="31">
        <f>IF(AN527=12,L527,0)</f>
        <v>0</v>
      </c>
      <c r="AL527" s="31">
        <f>IF(AN527=21,L527,0)</f>
        <v>0</v>
      </c>
      <c r="AN527" s="31">
        <v>21</v>
      </c>
      <c r="AO527" s="31">
        <f>H527*0</f>
        <v>0</v>
      </c>
      <c r="AP527" s="31">
        <f>H527*(1-0)</f>
        <v>0</v>
      </c>
      <c r="AQ527" s="32" t="s">
        <v>52</v>
      </c>
      <c r="AV527" s="31">
        <f>AW527+AX527</f>
        <v>0</v>
      </c>
      <c r="AW527" s="31">
        <f>G527*AO527</f>
        <v>0</v>
      </c>
      <c r="AX527" s="31">
        <f>G527*AP527</f>
        <v>0</v>
      </c>
      <c r="AY527" s="32" t="s">
        <v>1059</v>
      </c>
      <c r="AZ527" s="32" t="s">
        <v>1003</v>
      </c>
      <c r="BA527" s="12" t="s">
        <v>60</v>
      </c>
      <c r="BC527" s="31">
        <f>AW527+AX527</f>
        <v>0</v>
      </c>
      <c r="BD527" s="31">
        <f>H527/(100-BE527)*100</f>
        <v>0</v>
      </c>
      <c r="BE527" s="31">
        <v>0</v>
      </c>
      <c r="BF527" s="31">
        <f>O527</f>
        <v>5.2469400000000004</v>
      </c>
      <c r="BH527" s="31">
        <f>G527*AO527</f>
        <v>0</v>
      </c>
      <c r="BI527" s="31">
        <f>G527*AP527</f>
        <v>0</v>
      </c>
      <c r="BJ527" s="31">
        <f>G527*H527</f>
        <v>0</v>
      </c>
      <c r="BK527" s="31"/>
      <c r="BL527" s="31">
        <v>96</v>
      </c>
      <c r="BW527" s="31" t="str">
        <f>I527</f>
        <v>21</v>
      </c>
      <c r="BX527" s="4" t="s">
        <v>1087</v>
      </c>
    </row>
    <row r="528" spans="1:76" ht="14.35" x14ac:dyDescent="0.5">
      <c r="A528" s="34"/>
      <c r="D528" s="35" t="s">
        <v>1088</v>
      </c>
      <c r="E528" s="35" t="s">
        <v>1089</v>
      </c>
      <c r="G528" s="36">
        <v>3.14</v>
      </c>
      <c r="P528" s="37"/>
    </row>
    <row r="529" spans="1:76" ht="14.35" x14ac:dyDescent="0.5">
      <c r="A529" s="2" t="s">
        <v>1090</v>
      </c>
      <c r="B529" s="3" t="s">
        <v>49</v>
      </c>
      <c r="C529" s="3" t="s">
        <v>1091</v>
      </c>
      <c r="D529" s="72" t="s">
        <v>1092</v>
      </c>
      <c r="E529" s="73"/>
      <c r="F529" s="3" t="s">
        <v>150</v>
      </c>
      <c r="G529" s="31">
        <v>32.4</v>
      </c>
      <c r="H529" s="71"/>
      <c r="I529" s="32" t="s">
        <v>56</v>
      </c>
      <c r="J529" s="31">
        <f>G529*AO529</f>
        <v>0</v>
      </c>
      <c r="K529" s="31">
        <f>G529*AP529</f>
        <v>0</v>
      </c>
      <c r="L529" s="31">
        <f>G529*H529</f>
        <v>0</v>
      </c>
      <c r="M529" s="31">
        <f>L529*(1+BW529/100)</f>
        <v>0</v>
      </c>
      <c r="N529" s="31">
        <v>0.37</v>
      </c>
      <c r="O529" s="31">
        <f>G529*N529</f>
        <v>11.988</v>
      </c>
      <c r="P529" s="33" t="s">
        <v>57</v>
      </c>
      <c r="Z529" s="31">
        <f>IF(AQ529="5",BJ529,0)</f>
        <v>0</v>
      </c>
      <c r="AB529" s="31">
        <f>IF(AQ529="1",BH529,0)</f>
        <v>0</v>
      </c>
      <c r="AC529" s="31">
        <f>IF(AQ529="1",BI529,0)</f>
        <v>0</v>
      </c>
      <c r="AD529" s="31">
        <f>IF(AQ529="7",BH529,0)</f>
        <v>0</v>
      </c>
      <c r="AE529" s="31">
        <f>IF(AQ529="7",BI529,0)</f>
        <v>0</v>
      </c>
      <c r="AF529" s="31">
        <f>IF(AQ529="2",BH529,0)</f>
        <v>0</v>
      </c>
      <c r="AG529" s="31">
        <f>IF(AQ529="2",BI529,0)</f>
        <v>0</v>
      </c>
      <c r="AH529" s="31">
        <f>IF(AQ529="0",BJ529,0)</f>
        <v>0</v>
      </c>
      <c r="AI529" s="12" t="s">
        <v>49</v>
      </c>
      <c r="AJ529" s="31">
        <f>IF(AN529=0,L529,0)</f>
        <v>0</v>
      </c>
      <c r="AK529" s="31">
        <f>IF(AN529=12,L529,0)</f>
        <v>0</v>
      </c>
      <c r="AL529" s="31">
        <f>IF(AN529=21,L529,0)</f>
        <v>0</v>
      </c>
      <c r="AN529" s="31">
        <v>21</v>
      </c>
      <c r="AO529" s="31">
        <f>H529*0</f>
        <v>0</v>
      </c>
      <c r="AP529" s="31">
        <f>H529*(1-0)</f>
        <v>0</v>
      </c>
      <c r="AQ529" s="32" t="s">
        <v>52</v>
      </c>
      <c r="AV529" s="31">
        <f>AW529+AX529</f>
        <v>0</v>
      </c>
      <c r="AW529" s="31">
        <f>G529*AO529</f>
        <v>0</v>
      </c>
      <c r="AX529" s="31">
        <f>G529*AP529</f>
        <v>0</v>
      </c>
      <c r="AY529" s="32" t="s">
        <v>1059</v>
      </c>
      <c r="AZ529" s="32" t="s">
        <v>1003</v>
      </c>
      <c r="BA529" s="12" t="s">
        <v>60</v>
      </c>
      <c r="BC529" s="31">
        <f>AW529+AX529</f>
        <v>0</v>
      </c>
      <c r="BD529" s="31">
        <f>H529/(100-BE529)*100</f>
        <v>0</v>
      </c>
      <c r="BE529" s="31">
        <v>0</v>
      </c>
      <c r="BF529" s="31">
        <f>O529</f>
        <v>11.988</v>
      </c>
      <c r="BH529" s="31">
        <f>G529*AO529</f>
        <v>0</v>
      </c>
      <c r="BI529" s="31">
        <f>G529*AP529</f>
        <v>0</v>
      </c>
      <c r="BJ529" s="31">
        <f>G529*H529</f>
        <v>0</v>
      </c>
      <c r="BK529" s="31"/>
      <c r="BL529" s="31">
        <v>96</v>
      </c>
      <c r="BW529" s="31" t="str">
        <f>I529</f>
        <v>21</v>
      </c>
      <c r="BX529" s="4" t="s">
        <v>1092</v>
      </c>
    </row>
    <row r="530" spans="1:76" ht="14.35" x14ac:dyDescent="0.5">
      <c r="A530" s="34"/>
      <c r="D530" s="35" t="s">
        <v>322</v>
      </c>
      <c r="E530" s="35" t="s">
        <v>1093</v>
      </c>
      <c r="G530" s="36">
        <v>32.4</v>
      </c>
      <c r="P530" s="37"/>
    </row>
    <row r="531" spans="1:76" ht="14.35" x14ac:dyDescent="0.5">
      <c r="A531" s="2" t="s">
        <v>1094</v>
      </c>
      <c r="B531" s="3" t="s">
        <v>49</v>
      </c>
      <c r="C531" s="3" t="s">
        <v>1095</v>
      </c>
      <c r="D531" s="72" t="s">
        <v>1096</v>
      </c>
      <c r="E531" s="73"/>
      <c r="F531" s="3" t="s">
        <v>179</v>
      </c>
      <c r="G531" s="31">
        <v>36</v>
      </c>
      <c r="H531" s="71"/>
      <c r="I531" s="32" t="s">
        <v>56</v>
      </c>
      <c r="J531" s="31">
        <f>G531*AO531</f>
        <v>0</v>
      </c>
      <c r="K531" s="31">
        <f>G531*AP531</f>
        <v>0</v>
      </c>
      <c r="L531" s="31">
        <f>G531*H531</f>
        <v>0</v>
      </c>
      <c r="M531" s="31">
        <f>L531*(1+BW531/100)</f>
        <v>0</v>
      </c>
      <c r="N531" s="31">
        <v>6.762E-2</v>
      </c>
      <c r="O531" s="31">
        <f>G531*N531</f>
        <v>2.43432</v>
      </c>
      <c r="P531" s="33" t="s">
        <v>57</v>
      </c>
      <c r="Z531" s="31">
        <f>IF(AQ531="5",BJ531,0)</f>
        <v>0</v>
      </c>
      <c r="AB531" s="31">
        <f>IF(AQ531="1",BH531,0)</f>
        <v>0</v>
      </c>
      <c r="AC531" s="31">
        <f>IF(AQ531="1",BI531,0)</f>
        <v>0</v>
      </c>
      <c r="AD531" s="31">
        <f>IF(AQ531="7",BH531,0)</f>
        <v>0</v>
      </c>
      <c r="AE531" s="31">
        <f>IF(AQ531="7",BI531,0)</f>
        <v>0</v>
      </c>
      <c r="AF531" s="31">
        <f>IF(AQ531="2",BH531,0)</f>
        <v>0</v>
      </c>
      <c r="AG531" s="31">
        <f>IF(AQ531="2",BI531,0)</f>
        <v>0</v>
      </c>
      <c r="AH531" s="31">
        <f>IF(AQ531="0",BJ531,0)</f>
        <v>0</v>
      </c>
      <c r="AI531" s="12" t="s">
        <v>49</v>
      </c>
      <c r="AJ531" s="31">
        <f>IF(AN531=0,L531,0)</f>
        <v>0</v>
      </c>
      <c r="AK531" s="31">
        <f>IF(AN531=12,L531,0)</f>
        <v>0</v>
      </c>
      <c r="AL531" s="31">
        <f>IF(AN531=21,L531,0)</f>
        <v>0</v>
      </c>
      <c r="AN531" s="31">
        <v>21</v>
      </c>
      <c r="AO531" s="31">
        <f>H531*0.044791271</f>
        <v>0</v>
      </c>
      <c r="AP531" s="31">
        <f>H531*(1-0.044791271)</f>
        <v>0</v>
      </c>
      <c r="AQ531" s="32" t="s">
        <v>52</v>
      </c>
      <c r="AV531" s="31">
        <f>AW531+AX531</f>
        <v>0</v>
      </c>
      <c r="AW531" s="31">
        <f>G531*AO531</f>
        <v>0</v>
      </c>
      <c r="AX531" s="31">
        <f>G531*AP531</f>
        <v>0</v>
      </c>
      <c r="AY531" s="32" t="s">
        <v>1059</v>
      </c>
      <c r="AZ531" s="32" t="s">
        <v>1003</v>
      </c>
      <c r="BA531" s="12" t="s">
        <v>60</v>
      </c>
      <c r="BC531" s="31">
        <f>AW531+AX531</f>
        <v>0</v>
      </c>
      <c r="BD531" s="31">
        <f>H531/(100-BE531)*100</f>
        <v>0</v>
      </c>
      <c r="BE531" s="31">
        <v>0</v>
      </c>
      <c r="BF531" s="31">
        <f>O531</f>
        <v>2.43432</v>
      </c>
      <c r="BH531" s="31">
        <f>G531*AO531</f>
        <v>0</v>
      </c>
      <c r="BI531" s="31">
        <f>G531*AP531</f>
        <v>0</v>
      </c>
      <c r="BJ531" s="31">
        <f>G531*H531</f>
        <v>0</v>
      </c>
      <c r="BK531" s="31"/>
      <c r="BL531" s="31">
        <v>96</v>
      </c>
      <c r="BW531" s="31" t="str">
        <f>I531</f>
        <v>21</v>
      </c>
      <c r="BX531" s="4" t="s">
        <v>1096</v>
      </c>
    </row>
    <row r="532" spans="1:76" ht="14.35" x14ac:dyDescent="0.5">
      <c r="A532" s="34"/>
      <c r="D532" s="35" t="s">
        <v>1097</v>
      </c>
      <c r="E532" s="35" t="s">
        <v>1098</v>
      </c>
      <c r="G532" s="36">
        <v>36</v>
      </c>
      <c r="P532" s="37"/>
    </row>
    <row r="533" spans="1:76" ht="14.35" x14ac:dyDescent="0.5">
      <c r="A533" s="38" t="s">
        <v>49</v>
      </c>
      <c r="B533" s="39" t="s">
        <v>49</v>
      </c>
      <c r="C533" s="39" t="s">
        <v>579</v>
      </c>
      <c r="D533" s="126" t="s">
        <v>1099</v>
      </c>
      <c r="E533" s="127"/>
      <c r="F533" s="40" t="s">
        <v>3</v>
      </c>
      <c r="G533" s="40" t="s">
        <v>3</v>
      </c>
      <c r="H533" s="40" t="s">
        <v>3</v>
      </c>
      <c r="I533" s="40" t="s">
        <v>3</v>
      </c>
      <c r="J533" s="1">
        <f>SUM(J534:J564)</f>
        <v>0</v>
      </c>
      <c r="K533" s="1">
        <f>SUM(K534:K564)</f>
        <v>0</v>
      </c>
      <c r="L533" s="1">
        <f>SUM(L534:L564)</f>
        <v>0</v>
      </c>
      <c r="M533" s="1">
        <f>SUM(M534:M564)</f>
        <v>0</v>
      </c>
      <c r="N533" s="12" t="s">
        <v>49</v>
      </c>
      <c r="O533" s="1">
        <f>SUM(O534:O564)</f>
        <v>116.7486371</v>
      </c>
      <c r="P533" s="41" t="s">
        <v>49</v>
      </c>
      <c r="AI533" s="12" t="s">
        <v>49</v>
      </c>
      <c r="AS533" s="1">
        <f>SUM(AJ534:AJ564)</f>
        <v>0</v>
      </c>
      <c r="AT533" s="1">
        <f>SUM(AK534:AK564)</f>
        <v>0</v>
      </c>
      <c r="AU533" s="1">
        <f>SUM(AL534:AL564)</f>
        <v>0</v>
      </c>
    </row>
    <row r="534" spans="1:76" ht="14.35" x14ac:dyDescent="0.5">
      <c r="A534" s="2" t="s">
        <v>1100</v>
      </c>
      <c r="B534" s="3" t="s">
        <v>49</v>
      </c>
      <c r="C534" s="3" t="s">
        <v>1101</v>
      </c>
      <c r="D534" s="72" t="s">
        <v>1102</v>
      </c>
      <c r="E534" s="73"/>
      <c r="F534" s="3" t="s">
        <v>150</v>
      </c>
      <c r="G534" s="31">
        <v>15.4</v>
      </c>
      <c r="H534" s="71"/>
      <c r="I534" s="32" t="s">
        <v>56</v>
      </c>
      <c r="J534" s="31">
        <f>G534*AO534</f>
        <v>0</v>
      </c>
      <c r="K534" s="31">
        <f>G534*AP534</f>
        <v>0</v>
      </c>
      <c r="L534" s="31">
        <f>G534*H534</f>
        <v>0</v>
      </c>
      <c r="M534" s="31">
        <f>L534*(1+BW534/100)</f>
        <v>0</v>
      </c>
      <c r="N534" s="31">
        <v>5.2290000000000003E-2</v>
      </c>
      <c r="O534" s="31">
        <f>G534*N534</f>
        <v>0.80526600000000004</v>
      </c>
      <c r="P534" s="33" t="s">
        <v>57</v>
      </c>
      <c r="Z534" s="31">
        <f>IF(AQ534="5",BJ534,0)</f>
        <v>0</v>
      </c>
      <c r="AB534" s="31">
        <f>IF(AQ534="1",BH534,0)</f>
        <v>0</v>
      </c>
      <c r="AC534" s="31">
        <f>IF(AQ534="1",BI534,0)</f>
        <v>0</v>
      </c>
      <c r="AD534" s="31">
        <f>IF(AQ534="7",BH534,0)</f>
        <v>0</v>
      </c>
      <c r="AE534" s="31">
        <f>IF(AQ534="7",BI534,0)</f>
        <v>0</v>
      </c>
      <c r="AF534" s="31">
        <f>IF(AQ534="2",BH534,0)</f>
        <v>0</v>
      </c>
      <c r="AG534" s="31">
        <f>IF(AQ534="2",BI534,0)</f>
        <v>0</v>
      </c>
      <c r="AH534" s="31">
        <f>IF(AQ534="0",BJ534,0)</f>
        <v>0</v>
      </c>
      <c r="AI534" s="12" t="s">
        <v>49</v>
      </c>
      <c r="AJ534" s="31">
        <f>IF(AN534=0,L534,0)</f>
        <v>0</v>
      </c>
      <c r="AK534" s="31">
        <f>IF(AN534=12,L534,0)</f>
        <v>0</v>
      </c>
      <c r="AL534" s="31">
        <f>IF(AN534=21,L534,0)</f>
        <v>0</v>
      </c>
      <c r="AN534" s="31">
        <v>21</v>
      </c>
      <c r="AO534" s="31">
        <f>H534*0.144497576</f>
        <v>0</v>
      </c>
      <c r="AP534" s="31">
        <f>H534*(1-0.144497576)</f>
        <v>0</v>
      </c>
      <c r="AQ534" s="32" t="s">
        <v>52</v>
      </c>
      <c r="AV534" s="31">
        <f>AW534+AX534</f>
        <v>0</v>
      </c>
      <c r="AW534" s="31">
        <f>G534*AO534</f>
        <v>0</v>
      </c>
      <c r="AX534" s="31">
        <f>G534*AP534</f>
        <v>0</v>
      </c>
      <c r="AY534" s="32" t="s">
        <v>1103</v>
      </c>
      <c r="AZ534" s="32" t="s">
        <v>1003</v>
      </c>
      <c r="BA534" s="12" t="s">
        <v>60</v>
      </c>
      <c r="BC534" s="31">
        <f>AW534+AX534</f>
        <v>0</v>
      </c>
      <c r="BD534" s="31">
        <f>H534/(100-BE534)*100</f>
        <v>0</v>
      </c>
      <c r="BE534" s="31">
        <v>0</v>
      </c>
      <c r="BF534" s="31">
        <f>O534</f>
        <v>0.80526600000000004</v>
      </c>
      <c r="BH534" s="31">
        <f>G534*AO534</f>
        <v>0</v>
      </c>
      <c r="BI534" s="31">
        <f>G534*AP534</f>
        <v>0</v>
      </c>
      <c r="BJ534" s="31">
        <f>G534*H534</f>
        <v>0</v>
      </c>
      <c r="BK534" s="31"/>
      <c r="BL534" s="31">
        <v>97</v>
      </c>
      <c r="BW534" s="31" t="str">
        <f>I534</f>
        <v>21</v>
      </c>
      <c r="BX534" s="4" t="s">
        <v>1102</v>
      </c>
    </row>
    <row r="535" spans="1:76" ht="14.35" x14ac:dyDescent="0.5">
      <c r="A535" s="34"/>
      <c r="D535" s="35" t="s">
        <v>1104</v>
      </c>
      <c r="E535" s="35" t="s">
        <v>1105</v>
      </c>
      <c r="G535" s="36">
        <v>15.4</v>
      </c>
      <c r="P535" s="37"/>
    </row>
    <row r="536" spans="1:76" ht="14.35" x14ac:dyDescent="0.5">
      <c r="A536" s="2" t="s">
        <v>1106</v>
      </c>
      <c r="B536" s="3" t="s">
        <v>49</v>
      </c>
      <c r="C536" s="3" t="s">
        <v>1107</v>
      </c>
      <c r="D536" s="72" t="s">
        <v>1108</v>
      </c>
      <c r="E536" s="73"/>
      <c r="F536" s="3" t="s">
        <v>150</v>
      </c>
      <c r="G536" s="31">
        <v>13.3</v>
      </c>
      <c r="H536" s="71"/>
      <c r="I536" s="32" t="s">
        <v>56</v>
      </c>
      <c r="J536" s="31">
        <f>G536*AO536</f>
        <v>0</v>
      </c>
      <c r="K536" s="31">
        <f>G536*AP536</f>
        <v>0</v>
      </c>
      <c r="L536" s="31">
        <f>G536*H536</f>
        <v>0</v>
      </c>
      <c r="M536" s="31">
        <f>L536*(1+BW536/100)</f>
        <v>0</v>
      </c>
      <c r="N536" s="31">
        <v>8.8000000000000003E-4</v>
      </c>
      <c r="O536" s="31">
        <f>G536*N536</f>
        <v>1.1704000000000001E-2</v>
      </c>
      <c r="P536" s="33" t="s">
        <v>57</v>
      </c>
      <c r="Z536" s="31">
        <f>IF(AQ536="5",BJ536,0)</f>
        <v>0</v>
      </c>
      <c r="AB536" s="31">
        <f>IF(AQ536="1",BH536,0)</f>
        <v>0</v>
      </c>
      <c r="AC536" s="31">
        <f>IF(AQ536="1",BI536,0)</f>
        <v>0</v>
      </c>
      <c r="AD536" s="31">
        <f>IF(AQ536="7",BH536,0)</f>
        <v>0</v>
      </c>
      <c r="AE536" s="31">
        <f>IF(AQ536="7",BI536,0)</f>
        <v>0</v>
      </c>
      <c r="AF536" s="31">
        <f>IF(AQ536="2",BH536,0)</f>
        <v>0</v>
      </c>
      <c r="AG536" s="31">
        <f>IF(AQ536="2",BI536,0)</f>
        <v>0</v>
      </c>
      <c r="AH536" s="31">
        <f>IF(AQ536="0",BJ536,0)</f>
        <v>0</v>
      </c>
      <c r="AI536" s="12" t="s">
        <v>49</v>
      </c>
      <c r="AJ536" s="31">
        <f>IF(AN536=0,L536,0)</f>
        <v>0</v>
      </c>
      <c r="AK536" s="31">
        <f>IF(AN536=12,L536,0)</f>
        <v>0</v>
      </c>
      <c r="AL536" s="31">
        <f>IF(AN536=21,L536,0)</f>
        <v>0</v>
      </c>
      <c r="AN536" s="31">
        <v>21</v>
      </c>
      <c r="AO536" s="31">
        <f>H536*0.437101122</f>
        <v>0</v>
      </c>
      <c r="AP536" s="31">
        <f>H536*(1-0.437101122)</f>
        <v>0</v>
      </c>
      <c r="AQ536" s="32" t="s">
        <v>52</v>
      </c>
      <c r="AV536" s="31">
        <f>AW536+AX536</f>
        <v>0</v>
      </c>
      <c r="AW536" s="31">
        <f>G536*AO536</f>
        <v>0</v>
      </c>
      <c r="AX536" s="31">
        <f>G536*AP536</f>
        <v>0</v>
      </c>
      <c r="AY536" s="32" t="s">
        <v>1103</v>
      </c>
      <c r="AZ536" s="32" t="s">
        <v>1003</v>
      </c>
      <c r="BA536" s="12" t="s">
        <v>60</v>
      </c>
      <c r="BC536" s="31">
        <f>AW536+AX536</f>
        <v>0</v>
      </c>
      <c r="BD536" s="31">
        <f>H536/(100-BE536)*100</f>
        <v>0</v>
      </c>
      <c r="BE536" s="31">
        <v>0</v>
      </c>
      <c r="BF536" s="31">
        <f>O536</f>
        <v>1.1704000000000001E-2</v>
      </c>
      <c r="BH536" s="31">
        <f>G536*AO536</f>
        <v>0</v>
      </c>
      <c r="BI536" s="31">
        <f>G536*AP536</f>
        <v>0</v>
      </c>
      <c r="BJ536" s="31">
        <f>G536*H536</f>
        <v>0</v>
      </c>
      <c r="BK536" s="31"/>
      <c r="BL536" s="31">
        <v>97</v>
      </c>
      <c r="BW536" s="31" t="str">
        <f>I536</f>
        <v>21</v>
      </c>
      <c r="BX536" s="4" t="s">
        <v>1108</v>
      </c>
    </row>
    <row r="537" spans="1:76" ht="14.35" x14ac:dyDescent="0.5">
      <c r="A537" s="34"/>
      <c r="D537" s="35" t="s">
        <v>1109</v>
      </c>
      <c r="E537" s="35" t="s">
        <v>1110</v>
      </c>
      <c r="G537" s="36">
        <v>13.3</v>
      </c>
      <c r="P537" s="37"/>
    </row>
    <row r="538" spans="1:76" ht="14.35" x14ac:dyDescent="0.5">
      <c r="A538" s="2" t="s">
        <v>1111</v>
      </c>
      <c r="B538" s="3" t="s">
        <v>49</v>
      </c>
      <c r="C538" s="3" t="s">
        <v>1112</v>
      </c>
      <c r="D538" s="72" t="s">
        <v>1113</v>
      </c>
      <c r="E538" s="73"/>
      <c r="F538" s="3" t="s">
        <v>179</v>
      </c>
      <c r="G538" s="31">
        <v>4</v>
      </c>
      <c r="H538" s="71"/>
      <c r="I538" s="32" t="s">
        <v>56</v>
      </c>
      <c r="J538" s="31">
        <f>G538*AO538</f>
        <v>0</v>
      </c>
      <c r="K538" s="31">
        <f>G538*AP538</f>
        <v>0</v>
      </c>
      <c r="L538" s="31">
        <f>G538*H538</f>
        <v>0</v>
      </c>
      <c r="M538" s="31">
        <f>L538*(1+BW538/100)</f>
        <v>0</v>
      </c>
      <c r="N538" s="31">
        <v>5.4339999999999999E-2</v>
      </c>
      <c r="O538" s="31">
        <f>G538*N538</f>
        <v>0.21736</v>
      </c>
      <c r="P538" s="33" t="s">
        <v>57</v>
      </c>
      <c r="Z538" s="31">
        <f>IF(AQ538="5",BJ538,0)</f>
        <v>0</v>
      </c>
      <c r="AB538" s="31">
        <f>IF(AQ538="1",BH538,0)</f>
        <v>0</v>
      </c>
      <c r="AC538" s="31">
        <f>IF(AQ538="1",BI538,0)</f>
        <v>0</v>
      </c>
      <c r="AD538" s="31">
        <f>IF(AQ538="7",BH538,0)</f>
        <v>0</v>
      </c>
      <c r="AE538" s="31">
        <f>IF(AQ538="7",BI538,0)</f>
        <v>0</v>
      </c>
      <c r="AF538" s="31">
        <f>IF(AQ538="2",BH538,0)</f>
        <v>0</v>
      </c>
      <c r="AG538" s="31">
        <f>IF(AQ538="2",BI538,0)</f>
        <v>0</v>
      </c>
      <c r="AH538" s="31">
        <f>IF(AQ538="0",BJ538,0)</f>
        <v>0</v>
      </c>
      <c r="AI538" s="12" t="s">
        <v>49</v>
      </c>
      <c r="AJ538" s="31">
        <f>IF(AN538=0,L538,0)</f>
        <v>0</v>
      </c>
      <c r="AK538" s="31">
        <f>IF(AN538=12,L538,0)</f>
        <v>0</v>
      </c>
      <c r="AL538" s="31">
        <f>IF(AN538=21,L538,0)</f>
        <v>0</v>
      </c>
      <c r="AN538" s="31">
        <v>21</v>
      </c>
      <c r="AO538" s="31">
        <f>H538*0.057192982</f>
        <v>0</v>
      </c>
      <c r="AP538" s="31">
        <f>H538*(1-0.057192982)</f>
        <v>0</v>
      </c>
      <c r="AQ538" s="32" t="s">
        <v>52</v>
      </c>
      <c r="AV538" s="31">
        <f>AW538+AX538</f>
        <v>0</v>
      </c>
      <c r="AW538" s="31">
        <f>G538*AO538</f>
        <v>0</v>
      </c>
      <c r="AX538" s="31">
        <f>G538*AP538</f>
        <v>0</v>
      </c>
      <c r="AY538" s="32" t="s">
        <v>1103</v>
      </c>
      <c r="AZ538" s="32" t="s">
        <v>1003</v>
      </c>
      <c r="BA538" s="12" t="s">
        <v>60</v>
      </c>
      <c r="BC538" s="31">
        <f>AW538+AX538</f>
        <v>0</v>
      </c>
      <c r="BD538" s="31">
        <f>H538/(100-BE538)*100</f>
        <v>0</v>
      </c>
      <c r="BE538" s="31">
        <v>0</v>
      </c>
      <c r="BF538" s="31">
        <f>O538</f>
        <v>0.21736</v>
      </c>
      <c r="BH538" s="31">
        <f>G538*AO538</f>
        <v>0</v>
      </c>
      <c r="BI538" s="31">
        <f>G538*AP538</f>
        <v>0</v>
      </c>
      <c r="BJ538" s="31">
        <f>G538*H538</f>
        <v>0</v>
      </c>
      <c r="BK538" s="31"/>
      <c r="BL538" s="31">
        <v>97</v>
      </c>
      <c r="BW538" s="31" t="str">
        <f>I538</f>
        <v>21</v>
      </c>
      <c r="BX538" s="4" t="s">
        <v>1113</v>
      </c>
    </row>
    <row r="539" spans="1:76" ht="14.35" x14ac:dyDescent="0.5">
      <c r="A539" s="34"/>
      <c r="D539" s="35" t="s">
        <v>77</v>
      </c>
      <c r="E539" s="35" t="s">
        <v>1114</v>
      </c>
      <c r="G539" s="36">
        <v>4</v>
      </c>
      <c r="P539" s="37"/>
    </row>
    <row r="540" spans="1:76" ht="14.35" x14ac:dyDescent="0.5">
      <c r="A540" s="2" t="s">
        <v>1115</v>
      </c>
      <c r="B540" s="3" t="s">
        <v>49</v>
      </c>
      <c r="C540" s="3" t="s">
        <v>1116</v>
      </c>
      <c r="D540" s="72" t="s">
        <v>1117</v>
      </c>
      <c r="E540" s="73"/>
      <c r="F540" s="3" t="s">
        <v>125</v>
      </c>
      <c r="G540" s="31">
        <v>795.84</v>
      </c>
      <c r="H540" s="71"/>
      <c r="I540" s="32" t="s">
        <v>56</v>
      </c>
      <c r="J540" s="31">
        <f>G540*AO540</f>
        <v>0</v>
      </c>
      <c r="K540" s="31">
        <f>G540*AP540</f>
        <v>0</v>
      </c>
      <c r="L540" s="31">
        <f>G540*H540</f>
        <v>0</v>
      </c>
      <c r="M540" s="31">
        <f>L540*(1+BW540/100)</f>
        <v>0</v>
      </c>
      <c r="N540" s="31">
        <v>0.05</v>
      </c>
      <c r="O540" s="31">
        <f>G540*N540</f>
        <v>39.792000000000002</v>
      </c>
      <c r="P540" s="33" t="s">
        <v>57</v>
      </c>
      <c r="Z540" s="31">
        <f>IF(AQ540="5",BJ540,0)</f>
        <v>0</v>
      </c>
      <c r="AB540" s="31">
        <f>IF(AQ540="1",BH540,0)</f>
        <v>0</v>
      </c>
      <c r="AC540" s="31">
        <f>IF(AQ540="1",BI540,0)</f>
        <v>0</v>
      </c>
      <c r="AD540" s="31">
        <f>IF(AQ540="7",BH540,0)</f>
        <v>0</v>
      </c>
      <c r="AE540" s="31">
        <f>IF(AQ540="7",BI540,0)</f>
        <v>0</v>
      </c>
      <c r="AF540" s="31">
        <f>IF(AQ540="2",BH540,0)</f>
        <v>0</v>
      </c>
      <c r="AG540" s="31">
        <f>IF(AQ540="2",BI540,0)</f>
        <v>0</v>
      </c>
      <c r="AH540" s="31">
        <f>IF(AQ540="0",BJ540,0)</f>
        <v>0</v>
      </c>
      <c r="AI540" s="12" t="s">
        <v>49</v>
      </c>
      <c r="AJ540" s="31">
        <f>IF(AN540=0,L540,0)</f>
        <v>0</v>
      </c>
      <c r="AK540" s="31">
        <f>IF(AN540=12,L540,0)</f>
        <v>0</v>
      </c>
      <c r="AL540" s="31">
        <f>IF(AN540=21,L540,0)</f>
        <v>0</v>
      </c>
      <c r="AN540" s="31">
        <v>21</v>
      </c>
      <c r="AO540" s="31">
        <f>H540*0</f>
        <v>0</v>
      </c>
      <c r="AP540" s="31">
        <f>H540*(1-0)</f>
        <v>0</v>
      </c>
      <c r="AQ540" s="32" t="s">
        <v>52</v>
      </c>
      <c r="AV540" s="31">
        <f>AW540+AX540</f>
        <v>0</v>
      </c>
      <c r="AW540" s="31">
        <f>G540*AO540</f>
        <v>0</v>
      </c>
      <c r="AX540" s="31">
        <f>G540*AP540</f>
        <v>0</v>
      </c>
      <c r="AY540" s="32" t="s">
        <v>1103</v>
      </c>
      <c r="AZ540" s="32" t="s">
        <v>1003</v>
      </c>
      <c r="BA540" s="12" t="s">
        <v>60</v>
      </c>
      <c r="BC540" s="31">
        <f>AW540+AX540</f>
        <v>0</v>
      </c>
      <c r="BD540" s="31">
        <f>H540/(100-BE540)*100</f>
        <v>0</v>
      </c>
      <c r="BE540" s="31">
        <v>0</v>
      </c>
      <c r="BF540" s="31">
        <f>O540</f>
        <v>39.792000000000002</v>
      </c>
      <c r="BH540" s="31">
        <f>G540*AO540</f>
        <v>0</v>
      </c>
      <c r="BI540" s="31">
        <f>G540*AP540</f>
        <v>0</v>
      </c>
      <c r="BJ540" s="31">
        <f>G540*H540</f>
        <v>0</v>
      </c>
      <c r="BK540" s="31"/>
      <c r="BL540" s="31">
        <v>97</v>
      </c>
      <c r="BW540" s="31" t="str">
        <f>I540</f>
        <v>21</v>
      </c>
      <c r="BX540" s="4" t="s">
        <v>1117</v>
      </c>
    </row>
    <row r="541" spans="1:76" ht="14.35" x14ac:dyDescent="0.5">
      <c r="A541" s="34"/>
      <c r="D541" s="35" t="s">
        <v>450</v>
      </c>
      <c r="E541" s="35" t="s">
        <v>1118</v>
      </c>
      <c r="G541" s="36">
        <v>795.84</v>
      </c>
      <c r="P541" s="37"/>
    </row>
    <row r="542" spans="1:76" ht="14.35" x14ac:dyDescent="0.5">
      <c r="A542" s="2" t="s">
        <v>1119</v>
      </c>
      <c r="B542" s="3" t="s">
        <v>49</v>
      </c>
      <c r="C542" s="3" t="s">
        <v>1120</v>
      </c>
      <c r="D542" s="72" t="s">
        <v>1121</v>
      </c>
      <c r="E542" s="73"/>
      <c r="F542" s="3" t="s">
        <v>125</v>
      </c>
      <c r="G542" s="31">
        <v>1346.33</v>
      </c>
      <c r="H542" s="71"/>
      <c r="I542" s="32" t="s">
        <v>56</v>
      </c>
      <c r="J542" s="31">
        <f>G542*AO542</f>
        <v>0</v>
      </c>
      <c r="K542" s="31">
        <f>G542*AP542</f>
        <v>0</v>
      </c>
      <c r="L542" s="31">
        <f>G542*H542</f>
        <v>0</v>
      </c>
      <c r="M542" s="31">
        <f>L542*(1+BW542/100)</f>
        <v>0</v>
      </c>
      <c r="N542" s="31">
        <v>4.5999999999999999E-2</v>
      </c>
      <c r="O542" s="31">
        <f>G542*N542</f>
        <v>61.931179999999998</v>
      </c>
      <c r="P542" s="33" t="s">
        <v>57</v>
      </c>
      <c r="Z542" s="31">
        <f>IF(AQ542="5",BJ542,0)</f>
        <v>0</v>
      </c>
      <c r="AB542" s="31">
        <f>IF(AQ542="1",BH542,0)</f>
        <v>0</v>
      </c>
      <c r="AC542" s="31">
        <f>IF(AQ542="1",BI542,0)</f>
        <v>0</v>
      </c>
      <c r="AD542" s="31">
        <f>IF(AQ542="7",BH542,0)</f>
        <v>0</v>
      </c>
      <c r="AE542" s="31">
        <f>IF(AQ542="7",BI542,0)</f>
        <v>0</v>
      </c>
      <c r="AF542" s="31">
        <f>IF(AQ542="2",BH542,0)</f>
        <v>0</v>
      </c>
      <c r="AG542" s="31">
        <f>IF(AQ542="2",BI542,0)</f>
        <v>0</v>
      </c>
      <c r="AH542" s="31">
        <f>IF(AQ542="0",BJ542,0)</f>
        <v>0</v>
      </c>
      <c r="AI542" s="12" t="s">
        <v>49</v>
      </c>
      <c r="AJ542" s="31">
        <f>IF(AN542=0,L542,0)</f>
        <v>0</v>
      </c>
      <c r="AK542" s="31">
        <f>IF(AN542=12,L542,0)</f>
        <v>0</v>
      </c>
      <c r="AL542" s="31">
        <f>IF(AN542=21,L542,0)</f>
        <v>0</v>
      </c>
      <c r="AN542" s="31">
        <v>21</v>
      </c>
      <c r="AO542" s="31">
        <f>H542*0</f>
        <v>0</v>
      </c>
      <c r="AP542" s="31">
        <f>H542*(1-0)</f>
        <v>0</v>
      </c>
      <c r="AQ542" s="32" t="s">
        <v>52</v>
      </c>
      <c r="AV542" s="31">
        <f>AW542+AX542</f>
        <v>0</v>
      </c>
      <c r="AW542" s="31">
        <f>G542*AO542</f>
        <v>0</v>
      </c>
      <c r="AX542" s="31">
        <f>G542*AP542</f>
        <v>0</v>
      </c>
      <c r="AY542" s="32" t="s">
        <v>1103</v>
      </c>
      <c r="AZ542" s="32" t="s">
        <v>1003</v>
      </c>
      <c r="BA542" s="12" t="s">
        <v>60</v>
      </c>
      <c r="BC542" s="31">
        <f>AW542+AX542</f>
        <v>0</v>
      </c>
      <c r="BD542" s="31">
        <f>H542/(100-BE542)*100</f>
        <v>0</v>
      </c>
      <c r="BE542" s="31">
        <v>0</v>
      </c>
      <c r="BF542" s="31">
        <f>O542</f>
        <v>61.931179999999998</v>
      </c>
      <c r="BH542" s="31">
        <f>G542*AO542</f>
        <v>0</v>
      </c>
      <c r="BI542" s="31">
        <f>G542*AP542</f>
        <v>0</v>
      </c>
      <c r="BJ542" s="31">
        <f>G542*H542</f>
        <v>0</v>
      </c>
      <c r="BK542" s="31"/>
      <c r="BL542" s="31">
        <v>97</v>
      </c>
      <c r="BW542" s="31" t="str">
        <f>I542</f>
        <v>21</v>
      </c>
      <c r="BX542" s="4" t="s">
        <v>1121</v>
      </c>
    </row>
    <row r="543" spans="1:76" ht="14.35" x14ac:dyDescent="0.5">
      <c r="A543" s="34"/>
      <c r="D543" s="35" t="s">
        <v>1122</v>
      </c>
      <c r="E543" s="35" t="s">
        <v>1123</v>
      </c>
      <c r="G543" s="36">
        <v>1346.33</v>
      </c>
      <c r="P543" s="37"/>
    </row>
    <row r="544" spans="1:76" ht="14.35" x14ac:dyDescent="0.5">
      <c r="A544" s="2" t="s">
        <v>1124</v>
      </c>
      <c r="B544" s="3" t="s">
        <v>49</v>
      </c>
      <c r="C544" s="3" t="s">
        <v>1125</v>
      </c>
      <c r="D544" s="72" t="s">
        <v>1126</v>
      </c>
      <c r="E544" s="73"/>
      <c r="F544" s="3" t="s">
        <v>55</v>
      </c>
      <c r="G544" s="31">
        <v>79.13</v>
      </c>
      <c r="H544" s="71"/>
      <c r="I544" s="32" t="s">
        <v>56</v>
      </c>
      <c r="J544" s="31">
        <f>G544*AO544</f>
        <v>0</v>
      </c>
      <c r="K544" s="31">
        <f>G544*AP544</f>
        <v>0</v>
      </c>
      <c r="L544" s="31">
        <f>G544*H544</f>
        <v>0</v>
      </c>
      <c r="M544" s="31">
        <f>L544*(1+BW544/100)</f>
        <v>0</v>
      </c>
      <c r="N544" s="31">
        <v>0</v>
      </c>
      <c r="O544" s="31">
        <f>G544*N544</f>
        <v>0</v>
      </c>
      <c r="P544" s="33" t="s">
        <v>57</v>
      </c>
      <c r="Z544" s="31">
        <f>IF(AQ544="5",BJ544,0)</f>
        <v>0</v>
      </c>
      <c r="AB544" s="31">
        <f>IF(AQ544="1",BH544,0)</f>
        <v>0</v>
      </c>
      <c r="AC544" s="31">
        <f>IF(AQ544="1",BI544,0)</f>
        <v>0</v>
      </c>
      <c r="AD544" s="31">
        <f>IF(AQ544="7",BH544,0)</f>
        <v>0</v>
      </c>
      <c r="AE544" s="31">
        <f>IF(AQ544="7",BI544,0)</f>
        <v>0</v>
      </c>
      <c r="AF544" s="31">
        <f>IF(AQ544="2",BH544,0)</f>
        <v>0</v>
      </c>
      <c r="AG544" s="31">
        <f>IF(AQ544="2",BI544,0)</f>
        <v>0</v>
      </c>
      <c r="AH544" s="31">
        <f>IF(AQ544="0",BJ544,0)</f>
        <v>0</v>
      </c>
      <c r="AI544" s="12" t="s">
        <v>49</v>
      </c>
      <c r="AJ544" s="31">
        <f>IF(AN544=0,L544,0)</f>
        <v>0</v>
      </c>
      <c r="AK544" s="31">
        <f>IF(AN544=12,L544,0)</f>
        <v>0</v>
      </c>
      <c r="AL544" s="31">
        <f>IF(AN544=21,L544,0)</f>
        <v>0</v>
      </c>
      <c r="AN544" s="31">
        <v>21</v>
      </c>
      <c r="AO544" s="31">
        <f>H544*0.004551265</f>
        <v>0</v>
      </c>
      <c r="AP544" s="31">
        <f>H544*(1-0.004551265)</f>
        <v>0</v>
      </c>
      <c r="AQ544" s="32" t="s">
        <v>52</v>
      </c>
      <c r="AV544" s="31">
        <f>AW544+AX544</f>
        <v>0</v>
      </c>
      <c r="AW544" s="31">
        <f>G544*AO544</f>
        <v>0</v>
      </c>
      <c r="AX544" s="31">
        <f>G544*AP544</f>
        <v>0</v>
      </c>
      <c r="AY544" s="32" t="s">
        <v>1103</v>
      </c>
      <c r="AZ544" s="32" t="s">
        <v>1003</v>
      </c>
      <c r="BA544" s="12" t="s">
        <v>60</v>
      </c>
      <c r="BC544" s="31">
        <f>AW544+AX544</f>
        <v>0</v>
      </c>
      <c r="BD544" s="31">
        <f>H544/(100-BE544)*100</f>
        <v>0</v>
      </c>
      <c r="BE544" s="31">
        <v>0</v>
      </c>
      <c r="BF544" s="31">
        <f>O544</f>
        <v>0</v>
      </c>
      <c r="BH544" s="31">
        <f>G544*AO544</f>
        <v>0</v>
      </c>
      <c r="BI544" s="31">
        <f>G544*AP544</f>
        <v>0</v>
      </c>
      <c r="BJ544" s="31">
        <f>G544*H544</f>
        <v>0</v>
      </c>
      <c r="BK544" s="31"/>
      <c r="BL544" s="31">
        <v>97</v>
      </c>
      <c r="BW544" s="31" t="str">
        <f>I544</f>
        <v>21</v>
      </c>
      <c r="BX544" s="4" t="s">
        <v>1126</v>
      </c>
    </row>
    <row r="545" spans="1:76" ht="14.35" x14ac:dyDescent="0.5">
      <c r="A545" s="34"/>
      <c r="D545" s="35" t="s">
        <v>1127</v>
      </c>
      <c r="E545" s="35" t="s">
        <v>1128</v>
      </c>
      <c r="G545" s="36">
        <v>75.27</v>
      </c>
      <c r="P545" s="37"/>
    </row>
    <row r="546" spans="1:76" ht="14.35" x14ac:dyDescent="0.5">
      <c r="A546" s="34"/>
      <c r="D546" s="35" t="s">
        <v>1129</v>
      </c>
      <c r="E546" s="35" t="s">
        <v>62</v>
      </c>
      <c r="G546" s="36">
        <v>3.86</v>
      </c>
      <c r="P546" s="37"/>
    </row>
    <row r="547" spans="1:76" ht="14.35" x14ac:dyDescent="0.5">
      <c r="A547" s="2" t="s">
        <v>1130</v>
      </c>
      <c r="B547" s="3" t="s">
        <v>49</v>
      </c>
      <c r="C547" s="3" t="s">
        <v>1131</v>
      </c>
      <c r="D547" s="72" t="s">
        <v>1132</v>
      </c>
      <c r="E547" s="73"/>
      <c r="F547" s="3" t="s">
        <v>55</v>
      </c>
      <c r="G547" s="31">
        <v>25.09</v>
      </c>
      <c r="H547" s="71"/>
      <c r="I547" s="32" t="s">
        <v>56</v>
      </c>
      <c r="J547" s="31">
        <f>G547*AO547</f>
        <v>0</v>
      </c>
      <c r="K547" s="31">
        <f>G547*AP547</f>
        <v>0</v>
      </c>
      <c r="L547" s="31">
        <f>G547*H547</f>
        <v>0</v>
      </c>
      <c r="M547" s="31">
        <f>L547*(1+BW547/100)</f>
        <v>0</v>
      </c>
      <c r="N547" s="31">
        <v>8.3400000000000002E-2</v>
      </c>
      <c r="O547" s="31">
        <f>G547*N547</f>
        <v>2.0925060000000002</v>
      </c>
      <c r="P547" s="33" t="s">
        <v>57</v>
      </c>
      <c r="Z547" s="31">
        <f>IF(AQ547="5",BJ547,0)</f>
        <v>0</v>
      </c>
      <c r="AB547" s="31">
        <f>IF(AQ547="1",BH547,0)</f>
        <v>0</v>
      </c>
      <c r="AC547" s="31">
        <f>IF(AQ547="1",BI547,0)</f>
        <v>0</v>
      </c>
      <c r="AD547" s="31">
        <f>IF(AQ547="7",BH547,0)</f>
        <v>0</v>
      </c>
      <c r="AE547" s="31">
        <f>IF(AQ547="7",BI547,0)</f>
        <v>0</v>
      </c>
      <c r="AF547" s="31">
        <f>IF(AQ547="2",BH547,0)</f>
        <v>0</v>
      </c>
      <c r="AG547" s="31">
        <f>IF(AQ547="2",BI547,0)</f>
        <v>0</v>
      </c>
      <c r="AH547" s="31">
        <f>IF(AQ547="0",BJ547,0)</f>
        <v>0</v>
      </c>
      <c r="AI547" s="12" t="s">
        <v>49</v>
      </c>
      <c r="AJ547" s="31">
        <f>IF(AN547=0,L547,0)</f>
        <v>0</v>
      </c>
      <c r="AK547" s="31">
        <f>IF(AN547=12,L547,0)</f>
        <v>0</v>
      </c>
      <c r="AL547" s="31">
        <f>IF(AN547=21,L547,0)</f>
        <v>0</v>
      </c>
      <c r="AN547" s="31">
        <v>21</v>
      </c>
      <c r="AO547" s="31">
        <f>H547*0</f>
        <v>0</v>
      </c>
      <c r="AP547" s="31">
        <f>H547*(1-0)</f>
        <v>0</v>
      </c>
      <c r="AQ547" s="32" t="s">
        <v>52</v>
      </c>
      <c r="AV547" s="31">
        <f>AW547+AX547</f>
        <v>0</v>
      </c>
      <c r="AW547" s="31">
        <f>G547*AO547</f>
        <v>0</v>
      </c>
      <c r="AX547" s="31">
        <f>G547*AP547</f>
        <v>0</v>
      </c>
      <c r="AY547" s="32" t="s">
        <v>1103</v>
      </c>
      <c r="AZ547" s="32" t="s">
        <v>1003</v>
      </c>
      <c r="BA547" s="12" t="s">
        <v>60</v>
      </c>
      <c r="BC547" s="31">
        <f>AW547+AX547</f>
        <v>0</v>
      </c>
      <c r="BD547" s="31">
        <f>H547/(100-BE547)*100</f>
        <v>0</v>
      </c>
      <c r="BE547" s="31">
        <v>0</v>
      </c>
      <c r="BF547" s="31">
        <f>O547</f>
        <v>2.0925060000000002</v>
      </c>
      <c r="BH547" s="31">
        <f>G547*AO547</f>
        <v>0</v>
      </c>
      <c r="BI547" s="31">
        <f>G547*AP547</f>
        <v>0</v>
      </c>
      <c r="BJ547" s="31">
        <f>G547*H547</f>
        <v>0</v>
      </c>
      <c r="BK547" s="31"/>
      <c r="BL547" s="31">
        <v>97</v>
      </c>
      <c r="BW547" s="31" t="str">
        <f>I547</f>
        <v>21</v>
      </c>
      <c r="BX547" s="4" t="s">
        <v>1132</v>
      </c>
    </row>
    <row r="548" spans="1:76" ht="14.35" x14ac:dyDescent="0.5">
      <c r="A548" s="34"/>
      <c r="D548" s="35" t="s">
        <v>1133</v>
      </c>
      <c r="E548" s="35" t="s">
        <v>1134</v>
      </c>
      <c r="G548" s="36">
        <v>25.09</v>
      </c>
      <c r="P548" s="37"/>
    </row>
    <row r="549" spans="1:76" ht="14.35" x14ac:dyDescent="0.5">
      <c r="A549" s="2" t="s">
        <v>1135</v>
      </c>
      <c r="B549" s="3" t="s">
        <v>49</v>
      </c>
      <c r="C549" s="3" t="s">
        <v>1136</v>
      </c>
      <c r="D549" s="72" t="s">
        <v>1137</v>
      </c>
      <c r="E549" s="73"/>
      <c r="F549" s="3" t="s">
        <v>179</v>
      </c>
      <c r="G549" s="31">
        <v>2</v>
      </c>
      <c r="H549" s="71"/>
      <c r="I549" s="32" t="s">
        <v>56</v>
      </c>
      <c r="J549" s="31">
        <f>G549*AO549</f>
        <v>0</v>
      </c>
      <c r="K549" s="31">
        <f>G549*AP549</f>
        <v>0</v>
      </c>
      <c r="L549" s="31">
        <f>G549*H549</f>
        <v>0</v>
      </c>
      <c r="M549" s="31">
        <f>L549*(1+BW549/100)</f>
        <v>0</v>
      </c>
      <c r="N549" s="31">
        <v>2.9099999999999998E-3</v>
      </c>
      <c r="O549" s="31">
        <f>G549*N549</f>
        <v>5.8199999999999997E-3</v>
      </c>
      <c r="P549" s="33" t="s">
        <v>57</v>
      </c>
      <c r="Z549" s="31">
        <f>IF(AQ549="5",BJ549,0)</f>
        <v>0</v>
      </c>
      <c r="AB549" s="31">
        <f>IF(AQ549="1",BH549,0)</f>
        <v>0</v>
      </c>
      <c r="AC549" s="31">
        <f>IF(AQ549="1",BI549,0)</f>
        <v>0</v>
      </c>
      <c r="AD549" s="31">
        <f>IF(AQ549="7",BH549,0)</f>
        <v>0</v>
      </c>
      <c r="AE549" s="31">
        <f>IF(AQ549="7",BI549,0)</f>
        <v>0</v>
      </c>
      <c r="AF549" s="31">
        <f>IF(AQ549="2",BH549,0)</f>
        <v>0</v>
      </c>
      <c r="AG549" s="31">
        <f>IF(AQ549="2",BI549,0)</f>
        <v>0</v>
      </c>
      <c r="AH549" s="31">
        <f>IF(AQ549="0",BJ549,0)</f>
        <v>0</v>
      </c>
      <c r="AI549" s="12" t="s">
        <v>49</v>
      </c>
      <c r="AJ549" s="31">
        <f>IF(AN549=0,L549,0)</f>
        <v>0</v>
      </c>
      <c r="AK549" s="31">
        <f>IF(AN549=12,L549,0)</f>
        <v>0</v>
      </c>
      <c r="AL549" s="31">
        <f>IF(AN549=21,L549,0)</f>
        <v>0</v>
      </c>
      <c r="AN549" s="31">
        <v>21</v>
      </c>
      <c r="AO549" s="31">
        <f>H549*0.194632353</f>
        <v>0</v>
      </c>
      <c r="AP549" s="31">
        <f>H549*(1-0.194632353)</f>
        <v>0</v>
      </c>
      <c r="AQ549" s="32" t="s">
        <v>52</v>
      </c>
      <c r="AV549" s="31">
        <f>AW549+AX549</f>
        <v>0</v>
      </c>
      <c r="AW549" s="31">
        <f>G549*AO549</f>
        <v>0</v>
      </c>
      <c r="AX549" s="31">
        <f>G549*AP549</f>
        <v>0</v>
      </c>
      <c r="AY549" s="32" t="s">
        <v>1103</v>
      </c>
      <c r="AZ549" s="32" t="s">
        <v>1003</v>
      </c>
      <c r="BA549" s="12" t="s">
        <v>60</v>
      </c>
      <c r="BC549" s="31">
        <f>AW549+AX549</f>
        <v>0</v>
      </c>
      <c r="BD549" s="31">
        <f>H549/(100-BE549)*100</f>
        <v>0</v>
      </c>
      <c r="BE549" s="31">
        <v>0</v>
      </c>
      <c r="BF549" s="31">
        <f>O549</f>
        <v>5.8199999999999997E-3</v>
      </c>
      <c r="BH549" s="31">
        <f>G549*AO549</f>
        <v>0</v>
      </c>
      <c r="BI549" s="31">
        <f>G549*AP549</f>
        <v>0</v>
      </c>
      <c r="BJ549" s="31">
        <f>G549*H549</f>
        <v>0</v>
      </c>
      <c r="BK549" s="31"/>
      <c r="BL549" s="31">
        <v>97</v>
      </c>
      <c r="BW549" s="31" t="str">
        <f>I549</f>
        <v>21</v>
      </c>
      <c r="BX549" s="4" t="s">
        <v>1137</v>
      </c>
    </row>
    <row r="550" spans="1:76" ht="14.35" x14ac:dyDescent="0.5">
      <c r="A550" s="34"/>
      <c r="D550" s="35" t="s">
        <v>63</v>
      </c>
      <c r="E550" s="35" t="s">
        <v>1138</v>
      </c>
      <c r="G550" s="36">
        <v>2</v>
      </c>
      <c r="P550" s="37"/>
    </row>
    <row r="551" spans="1:76" ht="14.35" x14ac:dyDescent="0.5">
      <c r="A551" s="2" t="s">
        <v>1139</v>
      </c>
      <c r="B551" s="3" t="s">
        <v>49</v>
      </c>
      <c r="C551" s="3" t="s">
        <v>1140</v>
      </c>
      <c r="D551" s="72" t="s">
        <v>1141</v>
      </c>
      <c r="E551" s="73"/>
      <c r="F551" s="3" t="s">
        <v>150</v>
      </c>
      <c r="G551" s="31">
        <v>110.88</v>
      </c>
      <c r="H551" s="71"/>
      <c r="I551" s="32" t="s">
        <v>56</v>
      </c>
      <c r="J551" s="31">
        <f>G551*AO551</f>
        <v>0</v>
      </c>
      <c r="K551" s="31">
        <f>G551*AP551</f>
        <v>0</v>
      </c>
      <c r="L551" s="31">
        <f>G551*H551</f>
        <v>0</v>
      </c>
      <c r="M551" s="31">
        <f>L551*(1+BW551/100)</f>
        <v>0</v>
      </c>
      <c r="N551" s="31">
        <v>1.8069999999999999E-2</v>
      </c>
      <c r="O551" s="31">
        <f>G551*N551</f>
        <v>2.0036015999999996</v>
      </c>
      <c r="P551" s="33" t="s">
        <v>57</v>
      </c>
      <c r="Z551" s="31">
        <f>IF(AQ551="5",BJ551,0)</f>
        <v>0</v>
      </c>
      <c r="AB551" s="31">
        <f>IF(AQ551="1",BH551,0)</f>
        <v>0</v>
      </c>
      <c r="AC551" s="31">
        <f>IF(AQ551="1",BI551,0)</f>
        <v>0</v>
      </c>
      <c r="AD551" s="31">
        <f>IF(AQ551="7",BH551,0)</f>
        <v>0</v>
      </c>
      <c r="AE551" s="31">
        <f>IF(AQ551="7",BI551,0)</f>
        <v>0</v>
      </c>
      <c r="AF551" s="31">
        <f>IF(AQ551="2",BH551,0)</f>
        <v>0</v>
      </c>
      <c r="AG551" s="31">
        <f>IF(AQ551="2",BI551,0)</f>
        <v>0</v>
      </c>
      <c r="AH551" s="31">
        <f>IF(AQ551="0",BJ551,0)</f>
        <v>0</v>
      </c>
      <c r="AI551" s="12" t="s">
        <v>49</v>
      </c>
      <c r="AJ551" s="31">
        <f>IF(AN551=0,L551,0)</f>
        <v>0</v>
      </c>
      <c r="AK551" s="31">
        <f>IF(AN551=12,L551,0)</f>
        <v>0</v>
      </c>
      <c r="AL551" s="31">
        <f>IF(AN551=21,L551,0)</f>
        <v>0</v>
      </c>
      <c r="AN551" s="31">
        <v>21</v>
      </c>
      <c r="AO551" s="31">
        <f>H551*0.331324627</f>
        <v>0</v>
      </c>
      <c r="AP551" s="31">
        <f>H551*(1-0.331324627)</f>
        <v>0</v>
      </c>
      <c r="AQ551" s="32" t="s">
        <v>52</v>
      </c>
      <c r="AV551" s="31">
        <f>AW551+AX551</f>
        <v>0</v>
      </c>
      <c r="AW551" s="31">
        <f>G551*AO551</f>
        <v>0</v>
      </c>
      <c r="AX551" s="31">
        <f>G551*AP551</f>
        <v>0</v>
      </c>
      <c r="AY551" s="32" t="s">
        <v>1103</v>
      </c>
      <c r="AZ551" s="32" t="s">
        <v>1003</v>
      </c>
      <c r="BA551" s="12" t="s">
        <v>60</v>
      </c>
      <c r="BC551" s="31">
        <f>AW551+AX551</f>
        <v>0</v>
      </c>
      <c r="BD551" s="31">
        <f>H551/(100-BE551)*100</f>
        <v>0</v>
      </c>
      <c r="BE551" s="31">
        <v>0</v>
      </c>
      <c r="BF551" s="31">
        <f>O551</f>
        <v>2.0036015999999996</v>
      </c>
      <c r="BH551" s="31">
        <f>G551*AO551</f>
        <v>0</v>
      </c>
      <c r="BI551" s="31">
        <f>G551*AP551</f>
        <v>0</v>
      </c>
      <c r="BJ551" s="31">
        <f>G551*H551</f>
        <v>0</v>
      </c>
      <c r="BK551" s="31"/>
      <c r="BL551" s="31">
        <v>97</v>
      </c>
      <c r="BW551" s="31" t="str">
        <f>I551</f>
        <v>21</v>
      </c>
      <c r="BX551" s="4" t="s">
        <v>1141</v>
      </c>
    </row>
    <row r="552" spans="1:76" ht="14.35" x14ac:dyDescent="0.5">
      <c r="A552" s="34"/>
      <c r="D552" s="35" t="s">
        <v>1142</v>
      </c>
      <c r="E552" s="35" t="s">
        <v>1143</v>
      </c>
      <c r="G552" s="36">
        <v>88.18</v>
      </c>
      <c r="P552" s="37"/>
    </row>
    <row r="553" spans="1:76" ht="14.35" x14ac:dyDescent="0.5">
      <c r="A553" s="34"/>
      <c r="D553" s="35" t="s">
        <v>1144</v>
      </c>
      <c r="E553" s="35" t="s">
        <v>979</v>
      </c>
      <c r="G553" s="36">
        <v>22.7</v>
      </c>
      <c r="P553" s="37"/>
    </row>
    <row r="554" spans="1:76" ht="14.35" x14ac:dyDescent="0.5">
      <c r="A554" s="2" t="s">
        <v>1145</v>
      </c>
      <c r="B554" s="3" t="s">
        <v>49</v>
      </c>
      <c r="C554" s="3" t="s">
        <v>1146</v>
      </c>
      <c r="D554" s="72" t="s">
        <v>1147</v>
      </c>
      <c r="E554" s="73"/>
      <c r="F554" s="3" t="s">
        <v>125</v>
      </c>
      <c r="G554" s="31">
        <v>12.15</v>
      </c>
      <c r="H554" s="71"/>
      <c r="I554" s="32" t="s">
        <v>56</v>
      </c>
      <c r="J554" s="31">
        <f>G554*AO554</f>
        <v>0</v>
      </c>
      <c r="K554" s="31">
        <f>G554*AP554</f>
        <v>0</v>
      </c>
      <c r="L554" s="31">
        <f>G554*H554</f>
        <v>0</v>
      </c>
      <c r="M554" s="31">
        <f>L554*(1+BW554/100)</f>
        <v>0</v>
      </c>
      <c r="N554" s="31">
        <v>1.924E-2</v>
      </c>
      <c r="O554" s="31">
        <f>G554*N554</f>
        <v>0.233766</v>
      </c>
      <c r="P554" s="33" t="s">
        <v>57</v>
      </c>
      <c r="Z554" s="31">
        <f>IF(AQ554="5",BJ554,0)</f>
        <v>0</v>
      </c>
      <c r="AB554" s="31">
        <f>IF(AQ554="1",BH554,0)</f>
        <v>0</v>
      </c>
      <c r="AC554" s="31">
        <f>IF(AQ554="1",BI554,0)</f>
        <v>0</v>
      </c>
      <c r="AD554" s="31">
        <f>IF(AQ554="7",BH554,0)</f>
        <v>0</v>
      </c>
      <c r="AE554" s="31">
        <f>IF(AQ554="7",BI554,0)</f>
        <v>0</v>
      </c>
      <c r="AF554" s="31">
        <f>IF(AQ554="2",BH554,0)</f>
        <v>0</v>
      </c>
      <c r="AG554" s="31">
        <f>IF(AQ554="2",BI554,0)</f>
        <v>0</v>
      </c>
      <c r="AH554" s="31">
        <f>IF(AQ554="0",BJ554,0)</f>
        <v>0</v>
      </c>
      <c r="AI554" s="12" t="s">
        <v>49</v>
      </c>
      <c r="AJ554" s="31">
        <f>IF(AN554=0,L554,0)</f>
        <v>0</v>
      </c>
      <c r="AK554" s="31">
        <f>IF(AN554=12,L554,0)</f>
        <v>0</v>
      </c>
      <c r="AL554" s="31">
        <f>IF(AN554=21,L554,0)</f>
        <v>0</v>
      </c>
      <c r="AN554" s="31">
        <v>21</v>
      </c>
      <c r="AO554" s="31">
        <f>H554*0.254427415</f>
        <v>0</v>
      </c>
      <c r="AP554" s="31">
        <f>H554*(1-0.254427415)</f>
        <v>0</v>
      </c>
      <c r="AQ554" s="32" t="s">
        <v>52</v>
      </c>
      <c r="AV554" s="31">
        <f>AW554+AX554</f>
        <v>0</v>
      </c>
      <c r="AW554" s="31">
        <f>G554*AO554</f>
        <v>0</v>
      </c>
      <c r="AX554" s="31">
        <f>G554*AP554</f>
        <v>0</v>
      </c>
      <c r="AY554" s="32" t="s">
        <v>1103</v>
      </c>
      <c r="AZ554" s="32" t="s">
        <v>1003</v>
      </c>
      <c r="BA554" s="12" t="s">
        <v>60</v>
      </c>
      <c r="BC554" s="31">
        <f>AW554+AX554</f>
        <v>0</v>
      </c>
      <c r="BD554" s="31">
        <f>H554/(100-BE554)*100</f>
        <v>0</v>
      </c>
      <c r="BE554" s="31">
        <v>0</v>
      </c>
      <c r="BF554" s="31">
        <f>O554</f>
        <v>0.233766</v>
      </c>
      <c r="BH554" s="31">
        <f>G554*AO554</f>
        <v>0</v>
      </c>
      <c r="BI554" s="31">
        <f>G554*AP554</f>
        <v>0</v>
      </c>
      <c r="BJ554" s="31">
        <f>G554*H554</f>
        <v>0</v>
      </c>
      <c r="BK554" s="31"/>
      <c r="BL554" s="31">
        <v>97</v>
      </c>
      <c r="BW554" s="31" t="str">
        <f>I554</f>
        <v>21</v>
      </c>
      <c r="BX554" s="4" t="s">
        <v>1147</v>
      </c>
    </row>
    <row r="555" spans="1:76" ht="14.35" x14ac:dyDescent="0.5">
      <c r="A555" s="34"/>
      <c r="D555" s="35" t="s">
        <v>1148</v>
      </c>
      <c r="E555" s="35" t="s">
        <v>1149</v>
      </c>
      <c r="G555" s="36">
        <v>12.15</v>
      </c>
      <c r="P555" s="37"/>
    </row>
    <row r="556" spans="1:76" ht="14.35" x14ac:dyDescent="0.5">
      <c r="A556" s="2" t="s">
        <v>1150</v>
      </c>
      <c r="B556" s="3" t="s">
        <v>49</v>
      </c>
      <c r="C556" s="3" t="s">
        <v>1151</v>
      </c>
      <c r="D556" s="72" t="s">
        <v>1152</v>
      </c>
      <c r="E556" s="73"/>
      <c r="F556" s="3" t="s">
        <v>125</v>
      </c>
      <c r="G556" s="31">
        <v>40.159999999999997</v>
      </c>
      <c r="H556" s="71"/>
      <c r="I556" s="32" t="s">
        <v>56</v>
      </c>
      <c r="J556" s="31">
        <f>G556*AO556</f>
        <v>0</v>
      </c>
      <c r="K556" s="31">
        <f>G556*AP556</f>
        <v>0</v>
      </c>
      <c r="L556" s="31">
        <f>G556*H556</f>
        <v>0</v>
      </c>
      <c r="M556" s="31">
        <f>L556*(1+BW556/100)</f>
        <v>0</v>
      </c>
      <c r="N556" s="31">
        <v>1.4E-2</v>
      </c>
      <c r="O556" s="31">
        <f>G556*N556</f>
        <v>0.56223999999999996</v>
      </c>
      <c r="P556" s="33" t="s">
        <v>57</v>
      </c>
      <c r="Z556" s="31">
        <f>IF(AQ556="5",BJ556,0)</f>
        <v>0</v>
      </c>
      <c r="AB556" s="31">
        <f>IF(AQ556="1",BH556,0)</f>
        <v>0</v>
      </c>
      <c r="AC556" s="31">
        <f>IF(AQ556="1",BI556,0)</f>
        <v>0</v>
      </c>
      <c r="AD556" s="31">
        <f>IF(AQ556="7",BH556,0)</f>
        <v>0</v>
      </c>
      <c r="AE556" s="31">
        <f>IF(AQ556="7",BI556,0)</f>
        <v>0</v>
      </c>
      <c r="AF556" s="31">
        <f>IF(AQ556="2",BH556,0)</f>
        <v>0</v>
      </c>
      <c r="AG556" s="31">
        <f>IF(AQ556="2",BI556,0)</f>
        <v>0</v>
      </c>
      <c r="AH556" s="31">
        <f>IF(AQ556="0",BJ556,0)</f>
        <v>0</v>
      </c>
      <c r="AI556" s="12" t="s">
        <v>49</v>
      </c>
      <c r="AJ556" s="31">
        <f>IF(AN556=0,L556,0)</f>
        <v>0</v>
      </c>
      <c r="AK556" s="31">
        <f>IF(AN556=12,L556,0)</f>
        <v>0</v>
      </c>
      <c r="AL556" s="31">
        <f>IF(AN556=21,L556,0)</f>
        <v>0</v>
      </c>
      <c r="AN556" s="31">
        <v>21</v>
      </c>
      <c r="AO556" s="31">
        <f>H556*0</f>
        <v>0</v>
      </c>
      <c r="AP556" s="31">
        <f>H556*(1-0)</f>
        <v>0</v>
      </c>
      <c r="AQ556" s="32" t="s">
        <v>52</v>
      </c>
      <c r="AV556" s="31">
        <f>AW556+AX556</f>
        <v>0</v>
      </c>
      <c r="AW556" s="31">
        <f>G556*AO556</f>
        <v>0</v>
      </c>
      <c r="AX556" s="31">
        <f>G556*AP556</f>
        <v>0</v>
      </c>
      <c r="AY556" s="32" t="s">
        <v>1103</v>
      </c>
      <c r="AZ556" s="32" t="s">
        <v>1003</v>
      </c>
      <c r="BA556" s="12" t="s">
        <v>60</v>
      </c>
      <c r="BC556" s="31">
        <f>AW556+AX556</f>
        <v>0</v>
      </c>
      <c r="BD556" s="31">
        <f>H556/(100-BE556)*100</f>
        <v>0</v>
      </c>
      <c r="BE556" s="31">
        <v>0</v>
      </c>
      <c r="BF556" s="31">
        <f>O556</f>
        <v>0.56223999999999996</v>
      </c>
      <c r="BH556" s="31">
        <f>G556*AO556</f>
        <v>0</v>
      </c>
      <c r="BI556" s="31">
        <f>G556*AP556</f>
        <v>0</v>
      </c>
      <c r="BJ556" s="31">
        <f>G556*H556</f>
        <v>0</v>
      </c>
      <c r="BK556" s="31"/>
      <c r="BL556" s="31">
        <v>97</v>
      </c>
      <c r="BW556" s="31" t="str">
        <f>I556</f>
        <v>21</v>
      </c>
      <c r="BX556" s="4" t="s">
        <v>1152</v>
      </c>
    </row>
    <row r="557" spans="1:76" ht="14.35" x14ac:dyDescent="0.5">
      <c r="A557" s="34"/>
      <c r="D557" s="35" t="s">
        <v>396</v>
      </c>
      <c r="E557" s="35" t="s">
        <v>1153</v>
      </c>
      <c r="G557" s="36">
        <v>40.159999999999997</v>
      </c>
      <c r="P557" s="37"/>
    </row>
    <row r="558" spans="1:76" ht="14.35" x14ac:dyDescent="0.5">
      <c r="A558" s="2" t="s">
        <v>1154</v>
      </c>
      <c r="B558" s="3" t="s">
        <v>49</v>
      </c>
      <c r="C558" s="3" t="s">
        <v>1155</v>
      </c>
      <c r="D558" s="72" t="s">
        <v>1156</v>
      </c>
      <c r="E558" s="73"/>
      <c r="F558" s="3" t="s">
        <v>125</v>
      </c>
      <c r="G558" s="31">
        <v>104.5</v>
      </c>
      <c r="H558" s="71"/>
      <c r="I558" s="32" t="s">
        <v>56</v>
      </c>
      <c r="J558" s="31">
        <f>G558*AO558</f>
        <v>0</v>
      </c>
      <c r="K558" s="31">
        <f>G558*AP558</f>
        <v>0</v>
      </c>
      <c r="L558" s="31">
        <f>G558*H558</f>
        <v>0</v>
      </c>
      <c r="M558" s="31">
        <f>L558*(1+BW558/100)</f>
        <v>0</v>
      </c>
      <c r="N558" s="31">
        <v>5.8999999999999997E-2</v>
      </c>
      <c r="O558" s="31">
        <f>G558*N558</f>
        <v>6.1654999999999998</v>
      </c>
      <c r="P558" s="33" t="s">
        <v>57</v>
      </c>
      <c r="Z558" s="31">
        <f>IF(AQ558="5",BJ558,0)</f>
        <v>0</v>
      </c>
      <c r="AB558" s="31">
        <f>IF(AQ558="1",BH558,0)</f>
        <v>0</v>
      </c>
      <c r="AC558" s="31">
        <f>IF(AQ558="1",BI558,0)</f>
        <v>0</v>
      </c>
      <c r="AD558" s="31">
        <f>IF(AQ558="7",BH558,0)</f>
        <v>0</v>
      </c>
      <c r="AE558" s="31">
        <f>IF(AQ558="7",BI558,0)</f>
        <v>0</v>
      </c>
      <c r="AF558" s="31">
        <f>IF(AQ558="2",BH558,0)</f>
        <v>0</v>
      </c>
      <c r="AG558" s="31">
        <f>IF(AQ558="2",BI558,0)</f>
        <v>0</v>
      </c>
      <c r="AH558" s="31">
        <f>IF(AQ558="0",BJ558,0)</f>
        <v>0</v>
      </c>
      <c r="AI558" s="12" t="s">
        <v>49</v>
      </c>
      <c r="AJ558" s="31">
        <f>IF(AN558=0,L558,0)</f>
        <v>0</v>
      </c>
      <c r="AK558" s="31">
        <f>IF(AN558=12,L558,0)</f>
        <v>0</v>
      </c>
      <c r="AL558" s="31">
        <f>IF(AN558=21,L558,0)</f>
        <v>0</v>
      </c>
      <c r="AN558" s="31">
        <v>21</v>
      </c>
      <c r="AO558" s="31">
        <f>H558*0</f>
        <v>0</v>
      </c>
      <c r="AP558" s="31">
        <f>H558*(1-0)</f>
        <v>0</v>
      </c>
      <c r="AQ558" s="32" t="s">
        <v>52</v>
      </c>
      <c r="AV558" s="31">
        <f>AW558+AX558</f>
        <v>0</v>
      </c>
      <c r="AW558" s="31">
        <f>G558*AO558</f>
        <v>0</v>
      </c>
      <c r="AX558" s="31">
        <f>G558*AP558</f>
        <v>0</v>
      </c>
      <c r="AY558" s="32" t="s">
        <v>1103</v>
      </c>
      <c r="AZ558" s="32" t="s">
        <v>1003</v>
      </c>
      <c r="BA558" s="12" t="s">
        <v>60</v>
      </c>
      <c r="BC558" s="31">
        <f>AW558+AX558</f>
        <v>0</v>
      </c>
      <c r="BD558" s="31">
        <f>H558/(100-BE558)*100</f>
        <v>0</v>
      </c>
      <c r="BE558" s="31">
        <v>0</v>
      </c>
      <c r="BF558" s="31">
        <f>O558</f>
        <v>6.1654999999999998</v>
      </c>
      <c r="BH558" s="31">
        <f>G558*AO558</f>
        <v>0</v>
      </c>
      <c r="BI558" s="31">
        <f>G558*AP558</f>
        <v>0</v>
      </c>
      <c r="BJ558" s="31">
        <f>G558*H558</f>
        <v>0</v>
      </c>
      <c r="BK558" s="31"/>
      <c r="BL558" s="31">
        <v>97</v>
      </c>
      <c r="BW558" s="31" t="str">
        <f>I558</f>
        <v>21</v>
      </c>
      <c r="BX558" s="4" t="s">
        <v>1156</v>
      </c>
    </row>
    <row r="559" spans="1:76" ht="14.35" x14ac:dyDescent="0.5">
      <c r="A559" s="34"/>
      <c r="D559" s="35" t="s">
        <v>401</v>
      </c>
      <c r="E559" s="35" t="s">
        <v>249</v>
      </c>
      <c r="G559" s="36">
        <v>104.5</v>
      </c>
      <c r="P559" s="37"/>
    </row>
    <row r="560" spans="1:76" ht="14.35" x14ac:dyDescent="0.5">
      <c r="A560" s="2" t="s">
        <v>1157</v>
      </c>
      <c r="B560" s="3" t="s">
        <v>49</v>
      </c>
      <c r="C560" s="3" t="s">
        <v>1158</v>
      </c>
      <c r="D560" s="72" t="s">
        <v>1159</v>
      </c>
      <c r="E560" s="73"/>
      <c r="F560" s="3" t="s">
        <v>150</v>
      </c>
      <c r="G560" s="31">
        <v>12.3</v>
      </c>
      <c r="H560" s="71"/>
      <c r="I560" s="32" t="s">
        <v>56</v>
      </c>
      <c r="J560" s="31">
        <f>G560*AO560</f>
        <v>0</v>
      </c>
      <c r="K560" s="31">
        <f>G560*AP560</f>
        <v>0</v>
      </c>
      <c r="L560" s="31">
        <f>G560*H560</f>
        <v>0</v>
      </c>
      <c r="M560" s="31">
        <f>L560*(1+BW560/100)</f>
        <v>0</v>
      </c>
      <c r="N560" s="31">
        <v>0.10549</v>
      </c>
      <c r="O560" s="31">
        <f>G560*N560</f>
        <v>1.2975270000000001</v>
      </c>
      <c r="P560" s="33" t="s">
        <v>57</v>
      </c>
      <c r="Z560" s="31">
        <f>IF(AQ560="5",BJ560,0)</f>
        <v>0</v>
      </c>
      <c r="AB560" s="31">
        <f>IF(AQ560="1",BH560,0)</f>
        <v>0</v>
      </c>
      <c r="AC560" s="31">
        <f>IF(AQ560="1",BI560,0)</f>
        <v>0</v>
      </c>
      <c r="AD560" s="31">
        <f>IF(AQ560="7",BH560,0)</f>
        <v>0</v>
      </c>
      <c r="AE560" s="31">
        <f>IF(AQ560="7",BI560,0)</f>
        <v>0</v>
      </c>
      <c r="AF560" s="31">
        <f>IF(AQ560="2",BH560,0)</f>
        <v>0</v>
      </c>
      <c r="AG560" s="31">
        <f>IF(AQ560="2",BI560,0)</f>
        <v>0</v>
      </c>
      <c r="AH560" s="31">
        <f>IF(AQ560="0",BJ560,0)</f>
        <v>0</v>
      </c>
      <c r="AI560" s="12" t="s">
        <v>49</v>
      </c>
      <c r="AJ560" s="31">
        <f>IF(AN560=0,L560,0)</f>
        <v>0</v>
      </c>
      <c r="AK560" s="31">
        <f>IF(AN560=12,L560,0)</f>
        <v>0</v>
      </c>
      <c r="AL560" s="31">
        <f>IF(AN560=21,L560,0)</f>
        <v>0</v>
      </c>
      <c r="AN560" s="31">
        <v>21</v>
      </c>
      <c r="AO560" s="31">
        <f>H560*0.018733443</f>
        <v>0</v>
      </c>
      <c r="AP560" s="31">
        <f>H560*(1-0.018733443)</f>
        <v>0</v>
      </c>
      <c r="AQ560" s="32" t="s">
        <v>52</v>
      </c>
      <c r="AV560" s="31">
        <f>AW560+AX560</f>
        <v>0</v>
      </c>
      <c r="AW560" s="31">
        <f>G560*AO560</f>
        <v>0</v>
      </c>
      <c r="AX560" s="31">
        <f>G560*AP560</f>
        <v>0</v>
      </c>
      <c r="AY560" s="32" t="s">
        <v>1103</v>
      </c>
      <c r="AZ560" s="32" t="s">
        <v>1003</v>
      </c>
      <c r="BA560" s="12" t="s">
        <v>60</v>
      </c>
      <c r="BC560" s="31">
        <f>AW560+AX560</f>
        <v>0</v>
      </c>
      <c r="BD560" s="31">
        <f>H560/(100-BE560)*100</f>
        <v>0</v>
      </c>
      <c r="BE560" s="31">
        <v>0</v>
      </c>
      <c r="BF560" s="31">
        <f>O560</f>
        <v>1.2975270000000001</v>
      </c>
      <c r="BH560" s="31">
        <f>G560*AO560</f>
        <v>0</v>
      </c>
      <c r="BI560" s="31">
        <f>G560*AP560</f>
        <v>0</v>
      </c>
      <c r="BJ560" s="31">
        <f>G560*H560</f>
        <v>0</v>
      </c>
      <c r="BK560" s="31"/>
      <c r="BL560" s="31">
        <v>97</v>
      </c>
      <c r="BW560" s="31" t="str">
        <f>I560</f>
        <v>21</v>
      </c>
      <c r="BX560" s="4" t="s">
        <v>1159</v>
      </c>
    </row>
    <row r="561" spans="1:76" ht="14.35" x14ac:dyDescent="0.5">
      <c r="A561" s="34"/>
      <c r="D561" s="35" t="s">
        <v>1160</v>
      </c>
      <c r="E561" s="35" t="s">
        <v>1161</v>
      </c>
      <c r="G561" s="36">
        <v>12.3</v>
      </c>
      <c r="P561" s="37"/>
    </row>
    <row r="562" spans="1:76" ht="14.35" x14ac:dyDescent="0.5">
      <c r="A562" s="2" t="s">
        <v>1162</v>
      </c>
      <c r="B562" s="3" t="s">
        <v>49</v>
      </c>
      <c r="C562" s="3" t="s">
        <v>1101</v>
      </c>
      <c r="D562" s="72" t="s">
        <v>1102</v>
      </c>
      <c r="E562" s="73"/>
      <c r="F562" s="3" t="s">
        <v>150</v>
      </c>
      <c r="G562" s="31">
        <v>28.15</v>
      </c>
      <c r="H562" s="71"/>
      <c r="I562" s="32" t="s">
        <v>56</v>
      </c>
      <c r="J562" s="31">
        <f>G562*AO562</f>
        <v>0</v>
      </c>
      <c r="K562" s="31">
        <f>G562*AP562</f>
        <v>0</v>
      </c>
      <c r="L562" s="31">
        <f>G562*H562</f>
        <v>0</v>
      </c>
      <c r="M562" s="31">
        <f>L562*(1+BW562/100)</f>
        <v>0</v>
      </c>
      <c r="N562" s="31">
        <v>5.2290000000000003E-2</v>
      </c>
      <c r="O562" s="31">
        <f>G562*N562</f>
        <v>1.4719635</v>
      </c>
      <c r="P562" s="33" t="s">
        <v>57</v>
      </c>
      <c r="Z562" s="31">
        <f>IF(AQ562="5",BJ562,0)</f>
        <v>0</v>
      </c>
      <c r="AB562" s="31">
        <f>IF(AQ562="1",BH562,0)</f>
        <v>0</v>
      </c>
      <c r="AC562" s="31">
        <f>IF(AQ562="1",BI562,0)</f>
        <v>0</v>
      </c>
      <c r="AD562" s="31">
        <f>IF(AQ562="7",BH562,0)</f>
        <v>0</v>
      </c>
      <c r="AE562" s="31">
        <f>IF(AQ562="7",BI562,0)</f>
        <v>0</v>
      </c>
      <c r="AF562" s="31">
        <f>IF(AQ562="2",BH562,0)</f>
        <v>0</v>
      </c>
      <c r="AG562" s="31">
        <f>IF(AQ562="2",BI562,0)</f>
        <v>0</v>
      </c>
      <c r="AH562" s="31">
        <f>IF(AQ562="0",BJ562,0)</f>
        <v>0</v>
      </c>
      <c r="AI562" s="12" t="s">
        <v>49</v>
      </c>
      <c r="AJ562" s="31">
        <f>IF(AN562=0,L562,0)</f>
        <v>0</v>
      </c>
      <c r="AK562" s="31">
        <f>IF(AN562=12,L562,0)</f>
        <v>0</v>
      </c>
      <c r="AL562" s="31">
        <f>IF(AN562=21,L562,0)</f>
        <v>0</v>
      </c>
      <c r="AN562" s="31">
        <v>21</v>
      </c>
      <c r="AO562" s="31">
        <f>H562*0.144497568</f>
        <v>0</v>
      </c>
      <c r="AP562" s="31">
        <f>H562*(1-0.144497568)</f>
        <v>0</v>
      </c>
      <c r="AQ562" s="32" t="s">
        <v>52</v>
      </c>
      <c r="AV562" s="31">
        <f>AW562+AX562</f>
        <v>0</v>
      </c>
      <c r="AW562" s="31">
        <f>G562*AO562</f>
        <v>0</v>
      </c>
      <c r="AX562" s="31">
        <f>G562*AP562</f>
        <v>0</v>
      </c>
      <c r="AY562" s="32" t="s">
        <v>1103</v>
      </c>
      <c r="AZ562" s="32" t="s">
        <v>1003</v>
      </c>
      <c r="BA562" s="12" t="s">
        <v>60</v>
      </c>
      <c r="BC562" s="31">
        <f>AW562+AX562</f>
        <v>0</v>
      </c>
      <c r="BD562" s="31">
        <f>H562/(100-BE562)*100</f>
        <v>0</v>
      </c>
      <c r="BE562" s="31">
        <v>0</v>
      </c>
      <c r="BF562" s="31">
        <f>O562</f>
        <v>1.4719635</v>
      </c>
      <c r="BH562" s="31">
        <f>G562*AO562</f>
        <v>0</v>
      </c>
      <c r="BI562" s="31">
        <f>G562*AP562</f>
        <v>0</v>
      </c>
      <c r="BJ562" s="31">
        <f>G562*H562</f>
        <v>0</v>
      </c>
      <c r="BK562" s="31"/>
      <c r="BL562" s="31">
        <v>97</v>
      </c>
      <c r="BW562" s="31" t="str">
        <f>I562</f>
        <v>21</v>
      </c>
      <c r="BX562" s="4" t="s">
        <v>1102</v>
      </c>
    </row>
    <row r="563" spans="1:76" ht="14.35" x14ac:dyDescent="0.5">
      <c r="A563" s="34"/>
      <c r="D563" s="35" t="s">
        <v>1163</v>
      </c>
      <c r="E563" s="35" t="s">
        <v>1164</v>
      </c>
      <c r="G563" s="36">
        <v>28.15</v>
      </c>
      <c r="P563" s="37"/>
    </row>
    <row r="564" spans="1:76" ht="14.35" x14ac:dyDescent="0.5">
      <c r="A564" s="2" t="s">
        <v>1165</v>
      </c>
      <c r="B564" s="3" t="s">
        <v>49</v>
      </c>
      <c r="C564" s="3" t="s">
        <v>1166</v>
      </c>
      <c r="D564" s="72" t="s">
        <v>1167</v>
      </c>
      <c r="E564" s="73"/>
      <c r="F564" s="3" t="s">
        <v>150</v>
      </c>
      <c r="G564" s="31">
        <v>28.15</v>
      </c>
      <c r="H564" s="71"/>
      <c r="I564" s="32" t="s">
        <v>56</v>
      </c>
      <c r="J564" s="31">
        <f>G564*AO564</f>
        <v>0</v>
      </c>
      <c r="K564" s="31">
        <f>G564*AP564</f>
        <v>0</v>
      </c>
      <c r="L564" s="31">
        <f>G564*H564</f>
        <v>0</v>
      </c>
      <c r="M564" s="31">
        <f>L564*(1+BW564/100)</f>
        <v>0</v>
      </c>
      <c r="N564" s="31">
        <v>5.62E-3</v>
      </c>
      <c r="O564" s="31">
        <f>G564*N564</f>
        <v>0.15820299999999998</v>
      </c>
      <c r="P564" s="33" t="s">
        <v>57</v>
      </c>
      <c r="Z564" s="31">
        <f>IF(AQ564="5",BJ564,0)</f>
        <v>0</v>
      </c>
      <c r="AB564" s="31">
        <f>IF(AQ564="1",BH564,0)</f>
        <v>0</v>
      </c>
      <c r="AC564" s="31">
        <f>IF(AQ564="1",BI564,0)</f>
        <v>0</v>
      </c>
      <c r="AD564" s="31">
        <f>IF(AQ564="7",BH564,0)</f>
        <v>0</v>
      </c>
      <c r="AE564" s="31">
        <f>IF(AQ564="7",BI564,0)</f>
        <v>0</v>
      </c>
      <c r="AF564" s="31">
        <f>IF(AQ564="2",BH564,0)</f>
        <v>0</v>
      </c>
      <c r="AG564" s="31">
        <f>IF(AQ564="2",BI564,0)</f>
        <v>0</v>
      </c>
      <c r="AH564" s="31">
        <f>IF(AQ564="0",BJ564,0)</f>
        <v>0</v>
      </c>
      <c r="AI564" s="12" t="s">
        <v>49</v>
      </c>
      <c r="AJ564" s="31">
        <f>IF(AN564=0,L564,0)</f>
        <v>0</v>
      </c>
      <c r="AK564" s="31">
        <f>IF(AN564=12,L564,0)</f>
        <v>0</v>
      </c>
      <c r="AL564" s="31">
        <f>IF(AN564=21,L564,0)</f>
        <v>0</v>
      </c>
      <c r="AN564" s="31">
        <v>21</v>
      </c>
      <c r="AO564" s="31">
        <f>H564*0.19398036</f>
        <v>0</v>
      </c>
      <c r="AP564" s="31">
        <f>H564*(1-0.19398036)</f>
        <v>0</v>
      </c>
      <c r="AQ564" s="32" t="s">
        <v>52</v>
      </c>
      <c r="AV564" s="31">
        <f>AW564+AX564</f>
        <v>0</v>
      </c>
      <c r="AW564" s="31">
        <f>G564*AO564</f>
        <v>0</v>
      </c>
      <c r="AX564" s="31">
        <f>G564*AP564</f>
        <v>0</v>
      </c>
      <c r="AY564" s="32" t="s">
        <v>1103</v>
      </c>
      <c r="AZ564" s="32" t="s">
        <v>1003</v>
      </c>
      <c r="BA564" s="12" t="s">
        <v>60</v>
      </c>
      <c r="BC564" s="31">
        <f>AW564+AX564</f>
        <v>0</v>
      </c>
      <c r="BD564" s="31">
        <f>H564/(100-BE564)*100</f>
        <v>0</v>
      </c>
      <c r="BE564" s="31">
        <v>0</v>
      </c>
      <c r="BF564" s="31">
        <f>O564</f>
        <v>0.15820299999999998</v>
      </c>
      <c r="BH564" s="31">
        <f>G564*AO564</f>
        <v>0</v>
      </c>
      <c r="BI564" s="31">
        <f>G564*AP564</f>
        <v>0</v>
      </c>
      <c r="BJ564" s="31">
        <f>G564*H564</f>
        <v>0</v>
      </c>
      <c r="BK564" s="31"/>
      <c r="BL564" s="31">
        <v>97</v>
      </c>
      <c r="BW564" s="31" t="str">
        <f>I564</f>
        <v>21</v>
      </c>
      <c r="BX564" s="4" t="s">
        <v>1167</v>
      </c>
    </row>
    <row r="565" spans="1:76" ht="14.35" x14ac:dyDescent="0.5">
      <c r="A565" s="38" t="s">
        <v>49</v>
      </c>
      <c r="B565" s="39" t="s">
        <v>49</v>
      </c>
      <c r="C565" s="39" t="s">
        <v>1168</v>
      </c>
      <c r="D565" s="126" t="s">
        <v>1169</v>
      </c>
      <c r="E565" s="127"/>
      <c r="F565" s="40" t="s">
        <v>3</v>
      </c>
      <c r="G565" s="40" t="s">
        <v>3</v>
      </c>
      <c r="H565" s="40" t="s">
        <v>3</v>
      </c>
      <c r="I565" s="40" t="s">
        <v>3</v>
      </c>
      <c r="J565" s="1">
        <f>SUM(J566:J566)</f>
        <v>0</v>
      </c>
      <c r="K565" s="1">
        <f>SUM(K566:K566)</f>
        <v>0</v>
      </c>
      <c r="L565" s="1">
        <f>SUM(L566:L566)</f>
        <v>0</v>
      </c>
      <c r="M565" s="1">
        <f>SUM(M566:M566)</f>
        <v>0</v>
      </c>
      <c r="N565" s="12" t="s">
        <v>49</v>
      </c>
      <c r="O565" s="1">
        <f>SUM(O566:O566)</f>
        <v>0</v>
      </c>
      <c r="P565" s="41" t="s">
        <v>49</v>
      </c>
      <c r="AI565" s="12" t="s">
        <v>49</v>
      </c>
      <c r="AS565" s="1">
        <f>SUM(AJ566:AJ566)</f>
        <v>0</v>
      </c>
      <c r="AT565" s="1">
        <f>SUM(AK566:AK566)</f>
        <v>0</v>
      </c>
      <c r="AU565" s="1">
        <f>SUM(AL566:AL566)</f>
        <v>0</v>
      </c>
    </row>
    <row r="566" spans="1:76" ht="14.35" x14ac:dyDescent="0.5">
      <c r="A566" s="2" t="s">
        <v>1170</v>
      </c>
      <c r="B566" s="3" t="s">
        <v>49</v>
      </c>
      <c r="C566" s="3" t="s">
        <v>1171</v>
      </c>
      <c r="D566" s="72" t="s">
        <v>1172</v>
      </c>
      <c r="E566" s="73"/>
      <c r="F566" s="3" t="s">
        <v>290</v>
      </c>
      <c r="G566" s="31">
        <v>567.62</v>
      </c>
      <c r="H566" s="71"/>
      <c r="I566" s="32" t="s">
        <v>56</v>
      </c>
      <c r="J566" s="31">
        <f>G566*AO566</f>
        <v>0</v>
      </c>
      <c r="K566" s="31">
        <f>G566*AP566</f>
        <v>0</v>
      </c>
      <c r="L566" s="31">
        <f>G566*H566</f>
        <v>0</v>
      </c>
      <c r="M566" s="31">
        <f>L566*(1+BW566/100)</f>
        <v>0</v>
      </c>
      <c r="N566" s="31">
        <v>0</v>
      </c>
      <c r="O566" s="31">
        <f>G566*N566</f>
        <v>0</v>
      </c>
      <c r="P566" s="33" t="s">
        <v>57</v>
      </c>
      <c r="Z566" s="31">
        <f>IF(AQ566="5",BJ566,0)</f>
        <v>0</v>
      </c>
      <c r="AB566" s="31">
        <f>IF(AQ566="1",BH566,0)</f>
        <v>0</v>
      </c>
      <c r="AC566" s="31">
        <f>IF(AQ566="1",BI566,0)</f>
        <v>0</v>
      </c>
      <c r="AD566" s="31">
        <f>IF(AQ566="7",BH566,0)</f>
        <v>0</v>
      </c>
      <c r="AE566" s="31">
        <f>IF(AQ566="7",BI566,0)</f>
        <v>0</v>
      </c>
      <c r="AF566" s="31">
        <f>IF(AQ566="2",BH566,0)</f>
        <v>0</v>
      </c>
      <c r="AG566" s="31">
        <f>IF(AQ566="2",BI566,0)</f>
        <v>0</v>
      </c>
      <c r="AH566" s="31">
        <f>IF(AQ566="0",BJ566,0)</f>
        <v>0</v>
      </c>
      <c r="AI566" s="12" t="s">
        <v>49</v>
      </c>
      <c r="AJ566" s="31">
        <f>IF(AN566=0,L566,0)</f>
        <v>0</v>
      </c>
      <c r="AK566" s="31">
        <f>IF(AN566=12,L566,0)</f>
        <v>0</v>
      </c>
      <c r="AL566" s="31">
        <f>IF(AN566=21,L566,0)</f>
        <v>0</v>
      </c>
      <c r="AN566" s="31">
        <v>21</v>
      </c>
      <c r="AO566" s="31">
        <f>H566*0</f>
        <v>0</v>
      </c>
      <c r="AP566" s="31">
        <f>H566*(1-0)</f>
        <v>0</v>
      </c>
      <c r="AQ566" s="32" t="s">
        <v>81</v>
      </c>
      <c r="AV566" s="31">
        <f>AW566+AX566</f>
        <v>0</v>
      </c>
      <c r="AW566" s="31">
        <f>G566*AO566</f>
        <v>0</v>
      </c>
      <c r="AX566" s="31">
        <f>G566*AP566</f>
        <v>0</v>
      </c>
      <c r="AY566" s="32" t="s">
        <v>1173</v>
      </c>
      <c r="AZ566" s="32" t="s">
        <v>1003</v>
      </c>
      <c r="BA566" s="12" t="s">
        <v>60</v>
      </c>
      <c r="BC566" s="31">
        <f>AW566+AX566</f>
        <v>0</v>
      </c>
      <c r="BD566" s="31">
        <f>H566/(100-BE566)*100</f>
        <v>0</v>
      </c>
      <c r="BE566" s="31">
        <v>0</v>
      </c>
      <c r="BF566" s="31">
        <f>O566</f>
        <v>0</v>
      </c>
      <c r="BH566" s="31">
        <f>G566*AO566</f>
        <v>0</v>
      </c>
      <c r="BI566" s="31">
        <f>G566*AP566</f>
        <v>0</v>
      </c>
      <c r="BJ566" s="31">
        <f>G566*H566</f>
        <v>0</v>
      </c>
      <c r="BK566" s="31"/>
      <c r="BL566" s="31"/>
      <c r="BW566" s="31" t="str">
        <f>I566</f>
        <v>21</v>
      </c>
      <c r="BX566" s="4" t="s">
        <v>1172</v>
      </c>
    </row>
    <row r="567" spans="1:76" ht="14.35" x14ac:dyDescent="0.5">
      <c r="A567" s="38" t="s">
        <v>49</v>
      </c>
      <c r="B567" s="39" t="s">
        <v>49</v>
      </c>
      <c r="C567" s="39" t="s">
        <v>1174</v>
      </c>
      <c r="D567" s="126" t="s">
        <v>1175</v>
      </c>
      <c r="E567" s="127"/>
      <c r="F567" s="40" t="s">
        <v>3</v>
      </c>
      <c r="G567" s="40" t="s">
        <v>3</v>
      </c>
      <c r="H567" s="40" t="s">
        <v>3</v>
      </c>
      <c r="I567" s="40" t="s">
        <v>3</v>
      </c>
      <c r="J567" s="1">
        <f>SUM(J568:J600)</f>
        <v>0</v>
      </c>
      <c r="K567" s="1">
        <f>SUM(K568:K600)</f>
        <v>0</v>
      </c>
      <c r="L567" s="1">
        <f>SUM(L568:L600)</f>
        <v>0</v>
      </c>
      <c r="M567" s="1">
        <f>SUM(M568:M600)</f>
        <v>0</v>
      </c>
      <c r="N567" s="12" t="s">
        <v>49</v>
      </c>
      <c r="O567" s="1">
        <f>SUM(O568:O600)</f>
        <v>0.43796400000000002</v>
      </c>
      <c r="P567" s="41" t="s">
        <v>49</v>
      </c>
      <c r="AI567" s="12" t="s">
        <v>49</v>
      </c>
      <c r="AS567" s="1">
        <f>SUM(AJ568:AJ600)</f>
        <v>0</v>
      </c>
      <c r="AT567" s="1">
        <f>SUM(AK568:AK600)</f>
        <v>0</v>
      </c>
      <c r="AU567" s="1">
        <f>SUM(AL568:AL600)</f>
        <v>0</v>
      </c>
    </row>
    <row r="568" spans="1:76" ht="14.35" x14ac:dyDescent="0.5">
      <c r="A568" s="2" t="s">
        <v>1176</v>
      </c>
      <c r="B568" s="3" t="s">
        <v>49</v>
      </c>
      <c r="C568" s="3" t="s">
        <v>1177</v>
      </c>
      <c r="D568" s="72" t="s">
        <v>1178</v>
      </c>
      <c r="E568" s="73"/>
      <c r="F568" s="3" t="s">
        <v>150</v>
      </c>
      <c r="G568" s="31">
        <v>54.95</v>
      </c>
      <c r="H568" s="71"/>
      <c r="I568" s="32" t="s">
        <v>56</v>
      </c>
      <c r="J568" s="31">
        <f>G568*AO568</f>
        <v>0</v>
      </c>
      <c r="K568" s="31">
        <f>G568*AP568</f>
        <v>0</v>
      </c>
      <c r="L568" s="31">
        <f>G568*H568</f>
        <v>0</v>
      </c>
      <c r="M568" s="31">
        <f>L568*(1+BW568/100)</f>
        <v>0</v>
      </c>
      <c r="N568" s="31">
        <v>0</v>
      </c>
      <c r="O568" s="31">
        <f>G568*N568</f>
        <v>0</v>
      </c>
      <c r="P568" s="33" t="s">
        <v>57</v>
      </c>
      <c r="Z568" s="31">
        <f>IF(AQ568="5",BJ568,0)</f>
        <v>0</v>
      </c>
      <c r="AB568" s="31">
        <f>IF(AQ568="1",BH568,0)</f>
        <v>0</v>
      </c>
      <c r="AC568" s="31">
        <f>IF(AQ568="1",BI568,0)</f>
        <v>0</v>
      </c>
      <c r="AD568" s="31">
        <f>IF(AQ568="7",BH568,0)</f>
        <v>0</v>
      </c>
      <c r="AE568" s="31">
        <f>IF(AQ568="7",BI568,0)</f>
        <v>0</v>
      </c>
      <c r="AF568" s="31">
        <f>IF(AQ568="2",BH568,0)</f>
        <v>0</v>
      </c>
      <c r="AG568" s="31">
        <f>IF(AQ568="2",BI568,0)</f>
        <v>0</v>
      </c>
      <c r="AH568" s="31">
        <f>IF(AQ568="0",BJ568,0)</f>
        <v>0</v>
      </c>
      <c r="AI568" s="12" t="s">
        <v>49</v>
      </c>
      <c r="AJ568" s="31">
        <f>IF(AN568=0,L568,0)</f>
        <v>0</v>
      </c>
      <c r="AK568" s="31">
        <f>IF(AN568=12,L568,0)</f>
        <v>0</v>
      </c>
      <c r="AL568" s="31">
        <f>IF(AN568=21,L568,0)</f>
        <v>0</v>
      </c>
      <c r="AN568" s="31">
        <v>21</v>
      </c>
      <c r="AO568" s="31">
        <f>H568*0</f>
        <v>0</v>
      </c>
      <c r="AP568" s="31">
        <f>H568*(1-0)</f>
        <v>0</v>
      </c>
      <c r="AQ568" s="32" t="s">
        <v>63</v>
      </c>
      <c r="AV568" s="31">
        <f>AW568+AX568</f>
        <v>0</v>
      </c>
      <c r="AW568" s="31">
        <f>G568*AO568</f>
        <v>0</v>
      </c>
      <c r="AX568" s="31">
        <f>G568*AP568</f>
        <v>0</v>
      </c>
      <c r="AY568" s="32" t="s">
        <v>1179</v>
      </c>
      <c r="AZ568" s="32" t="s">
        <v>1003</v>
      </c>
      <c r="BA568" s="12" t="s">
        <v>60</v>
      </c>
      <c r="BC568" s="31">
        <f>AW568+AX568</f>
        <v>0</v>
      </c>
      <c r="BD568" s="31">
        <f>H568/(100-BE568)*100</f>
        <v>0</v>
      </c>
      <c r="BE568" s="31">
        <v>0</v>
      </c>
      <c r="BF568" s="31">
        <f>O568</f>
        <v>0</v>
      </c>
      <c r="BH568" s="31">
        <f>G568*AO568</f>
        <v>0</v>
      </c>
      <c r="BI568" s="31">
        <f>G568*AP568</f>
        <v>0</v>
      </c>
      <c r="BJ568" s="31">
        <f>G568*H568</f>
        <v>0</v>
      </c>
      <c r="BK568" s="31"/>
      <c r="BL568" s="31"/>
      <c r="BW568" s="31" t="str">
        <f>I568</f>
        <v>21</v>
      </c>
      <c r="BX568" s="4" t="s">
        <v>1178</v>
      </c>
    </row>
    <row r="569" spans="1:76" ht="14.35" x14ac:dyDescent="0.5">
      <c r="A569" s="34"/>
      <c r="D569" s="35" t="s">
        <v>1180</v>
      </c>
      <c r="E569" s="35" t="s">
        <v>1181</v>
      </c>
      <c r="G569" s="36">
        <v>54.95</v>
      </c>
      <c r="P569" s="37"/>
    </row>
    <row r="570" spans="1:76" ht="14.35" x14ac:dyDescent="0.5">
      <c r="A570" s="2" t="s">
        <v>1182</v>
      </c>
      <c r="B570" s="3" t="s">
        <v>49</v>
      </c>
      <c r="C570" s="3" t="s">
        <v>1183</v>
      </c>
      <c r="D570" s="72" t="s">
        <v>1184</v>
      </c>
      <c r="E570" s="73"/>
      <c r="F570" s="3" t="s">
        <v>150</v>
      </c>
      <c r="G570" s="31">
        <v>145.9</v>
      </c>
      <c r="H570" s="71"/>
      <c r="I570" s="32" t="s">
        <v>56</v>
      </c>
      <c r="J570" s="31">
        <f>G570*AO570</f>
        <v>0</v>
      </c>
      <c r="K570" s="31">
        <f>G570*AP570</f>
        <v>0</v>
      </c>
      <c r="L570" s="31">
        <f>G570*H570</f>
        <v>0</v>
      </c>
      <c r="M570" s="31">
        <f>L570*(1+BW570/100)</f>
        <v>0</v>
      </c>
      <c r="N570" s="31">
        <v>1.16E-3</v>
      </c>
      <c r="O570" s="31">
        <f>G570*N570</f>
        <v>0.16924400000000001</v>
      </c>
      <c r="P570" s="33" t="s">
        <v>57</v>
      </c>
      <c r="Z570" s="31">
        <f>IF(AQ570="5",BJ570,0)</f>
        <v>0</v>
      </c>
      <c r="AB570" s="31">
        <f>IF(AQ570="1",BH570,0)</f>
        <v>0</v>
      </c>
      <c r="AC570" s="31">
        <f>IF(AQ570="1",BI570,0)</f>
        <v>0</v>
      </c>
      <c r="AD570" s="31">
        <f>IF(AQ570="7",BH570,0)</f>
        <v>0</v>
      </c>
      <c r="AE570" s="31">
        <f>IF(AQ570="7",BI570,0)</f>
        <v>0</v>
      </c>
      <c r="AF570" s="31">
        <f>IF(AQ570="2",BH570,0)</f>
        <v>0</v>
      </c>
      <c r="AG570" s="31">
        <f>IF(AQ570="2",BI570,0)</f>
        <v>0</v>
      </c>
      <c r="AH570" s="31">
        <f>IF(AQ570="0",BJ570,0)</f>
        <v>0</v>
      </c>
      <c r="AI570" s="12" t="s">
        <v>49</v>
      </c>
      <c r="AJ570" s="31">
        <f>IF(AN570=0,L570,0)</f>
        <v>0</v>
      </c>
      <c r="AK570" s="31">
        <f>IF(AN570=12,L570,0)</f>
        <v>0</v>
      </c>
      <c r="AL570" s="31">
        <f>IF(AN570=21,L570,0)</f>
        <v>0</v>
      </c>
      <c r="AN570" s="31">
        <v>21</v>
      </c>
      <c r="AO570" s="31">
        <f>H570*0.4127557</f>
        <v>0</v>
      </c>
      <c r="AP570" s="31">
        <f>H570*(1-0.4127557)</f>
        <v>0</v>
      </c>
      <c r="AQ570" s="32" t="s">
        <v>63</v>
      </c>
      <c r="AV570" s="31">
        <f>AW570+AX570</f>
        <v>0</v>
      </c>
      <c r="AW570" s="31">
        <f>G570*AO570</f>
        <v>0</v>
      </c>
      <c r="AX570" s="31">
        <f>G570*AP570</f>
        <v>0</v>
      </c>
      <c r="AY570" s="32" t="s">
        <v>1179</v>
      </c>
      <c r="AZ570" s="32" t="s">
        <v>1003</v>
      </c>
      <c r="BA570" s="12" t="s">
        <v>60</v>
      </c>
      <c r="BC570" s="31">
        <f>AW570+AX570</f>
        <v>0</v>
      </c>
      <c r="BD570" s="31">
        <f>H570/(100-BE570)*100</f>
        <v>0</v>
      </c>
      <c r="BE570" s="31">
        <v>0</v>
      </c>
      <c r="BF570" s="31">
        <f>O570</f>
        <v>0.16924400000000001</v>
      </c>
      <c r="BH570" s="31">
        <f>G570*AO570</f>
        <v>0</v>
      </c>
      <c r="BI570" s="31">
        <f>G570*AP570</f>
        <v>0</v>
      </c>
      <c r="BJ570" s="31">
        <f>G570*H570</f>
        <v>0</v>
      </c>
      <c r="BK570" s="31"/>
      <c r="BL570" s="31"/>
      <c r="BW570" s="31" t="str">
        <f>I570</f>
        <v>21</v>
      </c>
      <c r="BX570" s="4" t="s">
        <v>1184</v>
      </c>
    </row>
    <row r="571" spans="1:76" ht="14.35" x14ac:dyDescent="0.5">
      <c r="A571" s="34"/>
      <c r="D571" s="35" t="s">
        <v>1185</v>
      </c>
      <c r="E571" s="35" t="s">
        <v>1186</v>
      </c>
      <c r="G571" s="36">
        <v>109.9</v>
      </c>
      <c r="P571" s="37"/>
    </row>
    <row r="572" spans="1:76" ht="14.35" x14ac:dyDescent="0.5">
      <c r="A572" s="34"/>
      <c r="D572" s="35" t="s">
        <v>1187</v>
      </c>
      <c r="E572" s="35" t="s">
        <v>1188</v>
      </c>
      <c r="G572" s="36">
        <v>36</v>
      </c>
      <c r="P572" s="37"/>
    </row>
    <row r="573" spans="1:76" ht="14.35" x14ac:dyDescent="0.5">
      <c r="A573" s="2" t="s">
        <v>1189</v>
      </c>
      <c r="B573" s="3" t="s">
        <v>49</v>
      </c>
      <c r="C573" s="3" t="s">
        <v>1190</v>
      </c>
      <c r="D573" s="72" t="s">
        <v>1191</v>
      </c>
      <c r="E573" s="73"/>
      <c r="F573" s="3" t="s">
        <v>179</v>
      </c>
      <c r="G573" s="31">
        <v>5</v>
      </c>
      <c r="H573" s="71"/>
      <c r="I573" s="32" t="s">
        <v>56</v>
      </c>
      <c r="J573" s="31">
        <f>G573*AO573</f>
        <v>0</v>
      </c>
      <c r="K573" s="31">
        <f>G573*AP573</f>
        <v>0</v>
      </c>
      <c r="L573" s="31">
        <f>G573*H573</f>
        <v>0</v>
      </c>
      <c r="M573" s="31">
        <f>L573*(1+BW573/100)</f>
        <v>0</v>
      </c>
      <c r="N573" s="31">
        <v>6.4999999999999997E-3</v>
      </c>
      <c r="O573" s="31">
        <f>G573*N573</f>
        <v>3.2500000000000001E-2</v>
      </c>
      <c r="P573" s="33" t="s">
        <v>57</v>
      </c>
      <c r="Z573" s="31">
        <f>IF(AQ573="5",BJ573,0)</f>
        <v>0</v>
      </c>
      <c r="AB573" s="31">
        <f>IF(AQ573="1",BH573,0)</f>
        <v>0</v>
      </c>
      <c r="AC573" s="31">
        <f>IF(AQ573="1",BI573,0)</f>
        <v>0</v>
      </c>
      <c r="AD573" s="31">
        <f>IF(AQ573="7",BH573,0)</f>
        <v>0</v>
      </c>
      <c r="AE573" s="31">
        <f>IF(AQ573="7",BI573,0)</f>
        <v>0</v>
      </c>
      <c r="AF573" s="31">
        <f>IF(AQ573="2",BH573,0)</f>
        <v>0</v>
      </c>
      <c r="AG573" s="31">
        <f>IF(AQ573="2",BI573,0)</f>
        <v>0</v>
      </c>
      <c r="AH573" s="31">
        <f>IF(AQ573="0",BJ573,0)</f>
        <v>0</v>
      </c>
      <c r="AI573" s="12" t="s">
        <v>49</v>
      </c>
      <c r="AJ573" s="31">
        <f>IF(AN573=0,L573,0)</f>
        <v>0</v>
      </c>
      <c r="AK573" s="31">
        <f>IF(AN573=12,L573,0)</f>
        <v>0</v>
      </c>
      <c r="AL573" s="31">
        <f>IF(AN573=21,L573,0)</f>
        <v>0</v>
      </c>
      <c r="AN573" s="31">
        <v>21</v>
      </c>
      <c r="AO573" s="31">
        <f>H573*0.654358655</f>
        <v>0</v>
      </c>
      <c r="AP573" s="31">
        <f>H573*(1-0.654358655)</f>
        <v>0</v>
      </c>
      <c r="AQ573" s="32" t="s">
        <v>63</v>
      </c>
      <c r="AV573" s="31">
        <f>AW573+AX573</f>
        <v>0</v>
      </c>
      <c r="AW573" s="31">
        <f>G573*AO573</f>
        <v>0</v>
      </c>
      <c r="AX573" s="31">
        <f>G573*AP573</f>
        <v>0</v>
      </c>
      <c r="AY573" s="32" t="s">
        <v>1179</v>
      </c>
      <c r="AZ573" s="32" t="s">
        <v>1003</v>
      </c>
      <c r="BA573" s="12" t="s">
        <v>60</v>
      </c>
      <c r="BC573" s="31">
        <f>AW573+AX573</f>
        <v>0</v>
      </c>
      <c r="BD573" s="31">
        <f>H573/(100-BE573)*100</f>
        <v>0</v>
      </c>
      <c r="BE573" s="31">
        <v>0</v>
      </c>
      <c r="BF573" s="31">
        <f>O573</f>
        <v>3.2500000000000001E-2</v>
      </c>
      <c r="BH573" s="31">
        <f>G573*AO573</f>
        <v>0</v>
      </c>
      <c r="BI573" s="31">
        <f>G573*AP573</f>
        <v>0</v>
      </c>
      <c r="BJ573" s="31">
        <f>G573*H573</f>
        <v>0</v>
      </c>
      <c r="BK573" s="31"/>
      <c r="BL573" s="31"/>
      <c r="BW573" s="31" t="str">
        <f>I573</f>
        <v>21</v>
      </c>
      <c r="BX573" s="4" t="s">
        <v>1191</v>
      </c>
    </row>
    <row r="574" spans="1:76" ht="14.35" x14ac:dyDescent="0.5">
      <c r="A574" s="2" t="s">
        <v>1192</v>
      </c>
      <c r="B574" s="3" t="s">
        <v>49</v>
      </c>
      <c r="C574" s="3" t="s">
        <v>1193</v>
      </c>
      <c r="D574" s="72" t="s">
        <v>1194</v>
      </c>
      <c r="E574" s="73"/>
      <c r="F574" s="3" t="s">
        <v>179</v>
      </c>
      <c r="G574" s="31">
        <v>2.5</v>
      </c>
      <c r="H574" s="71"/>
      <c r="I574" s="32" t="s">
        <v>56</v>
      </c>
      <c r="J574" s="31">
        <f>G574*AO574</f>
        <v>0</v>
      </c>
      <c r="K574" s="31">
        <f>G574*AP574</f>
        <v>0</v>
      </c>
      <c r="L574" s="31">
        <f>G574*H574</f>
        <v>0</v>
      </c>
      <c r="M574" s="31">
        <f>L574*(1+BW574/100)</f>
        <v>0</v>
      </c>
      <c r="N574" s="31">
        <v>0</v>
      </c>
      <c r="O574" s="31">
        <f>G574*N574</f>
        <v>0</v>
      </c>
      <c r="P574" s="33" t="s">
        <v>57</v>
      </c>
      <c r="Z574" s="31">
        <f>IF(AQ574="5",BJ574,0)</f>
        <v>0</v>
      </c>
      <c r="AB574" s="31">
        <f>IF(AQ574="1",BH574,0)</f>
        <v>0</v>
      </c>
      <c r="AC574" s="31">
        <f>IF(AQ574="1",BI574,0)</f>
        <v>0</v>
      </c>
      <c r="AD574" s="31">
        <f>IF(AQ574="7",BH574,0)</f>
        <v>0</v>
      </c>
      <c r="AE574" s="31">
        <f>IF(AQ574="7",BI574,0)</f>
        <v>0</v>
      </c>
      <c r="AF574" s="31">
        <f>IF(AQ574="2",BH574,0)</f>
        <v>0</v>
      </c>
      <c r="AG574" s="31">
        <f>IF(AQ574="2",BI574,0)</f>
        <v>0</v>
      </c>
      <c r="AH574" s="31">
        <f>IF(AQ574="0",BJ574,0)</f>
        <v>0</v>
      </c>
      <c r="AI574" s="12" t="s">
        <v>49</v>
      </c>
      <c r="AJ574" s="31">
        <f>IF(AN574=0,L574,0)</f>
        <v>0</v>
      </c>
      <c r="AK574" s="31">
        <f>IF(AN574=12,L574,0)</f>
        <v>0</v>
      </c>
      <c r="AL574" s="31">
        <f>IF(AN574=21,L574,0)</f>
        <v>0</v>
      </c>
      <c r="AN574" s="31">
        <v>21</v>
      </c>
      <c r="AO574" s="31">
        <f>H574*0</f>
        <v>0</v>
      </c>
      <c r="AP574" s="31">
        <f>H574*(1-0)</f>
        <v>0</v>
      </c>
      <c r="AQ574" s="32" t="s">
        <v>63</v>
      </c>
      <c r="AV574" s="31">
        <f>AW574+AX574</f>
        <v>0</v>
      </c>
      <c r="AW574" s="31">
        <f>G574*AO574</f>
        <v>0</v>
      </c>
      <c r="AX574" s="31">
        <f>G574*AP574</f>
        <v>0</v>
      </c>
      <c r="AY574" s="32" t="s">
        <v>1179</v>
      </c>
      <c r="AZ574" s="32" t="s">
        <v>1003</v>
      </c>
      <c r="BA574" s="12" t="s">
        <v>60</v>
      </c>
      <c r="BC574" s="31">
        <f>AW574+AX574</f>
        <v>0</v>
      </c>
      <c r="BD574" s="31">
        <f>H574/(100-BE574)*100</f>
        <v>0</v>
      </c>
      <c r="BE574" s="31">
        <v>0</v>
      </c>
      <c r="BF574" s="31">
        <f>O574</f>
        <v>0</v>
      </c>
      <c r="BH574" s="31">
        <f>G574*AO574</f>
        <v>0</v>
      </c>
      <c r="BI574" s="31">
        <f>G574*AP574</f>
        <v>0</v>
      </c>
      <c r="BJ574" s="31">
        <f>G574*H574</f>
        <v>0</v>
      </c>
      <c r="BK574" s="31"/>
      <c r="BL574" s="31"/>
      <c r="BW574" s="31" t="str">
        <f>I574</f>
        <v>21</v>
      </c>
      <c r="BX574" s="4" t="s">
        <v>1194</v>
      </c>
    </row>
    <row r="575" spans="1:76" ht="14.35" x14ac:dyDescent="0.5">
      <c r="A575" s="34"/>
      <c r="D575" s="35" t="s">
        <v>1195</v>
      </c>
      <c r="E575" s="35" t="s">
        <v>1196</v>
      </c>
      <c r="G575" s="36">
        <v>2.5</v>
      </c>
      <c r="P575" s="37"/>
    </row>
    <row r="576" spans="1:76" ht="14.35" x14ac:dyDescent="0.5">
      <c r="A576" s="2" t="s">
        <v>1197</v>
      </c>
      <c r="B576" s="3" t="s">
        <v>49</v>
      </c>
      <c r="C576" s="3" t="s">
        <v>1198</v>
      </c>
      <c r="D576" s="72" t="s">
        <v>1199</v>
      </c>
      <c r="E576" s="73"/>
      <c r="F576" s="3" t="s">
        <v>179</v>
      </c>
      <c r="G576" s="31">
        <v>10</v>
      </c>
      <c r="H576" s="71"/>
      <c r="I576" s="32" t="s">
        <v>56</v>
      </c>
      <c r="J576" s="31">
        <f>G576*AO576</f>
        <v>0</v>
      </c>
      <c r="K576" s="31">
        <f>G576*AP576</f>
        <v>0</v>
      </c>
      <c r="L576" s="31">
        <f>G576*H576</f>
        <v>0</v>
      </c>
      <c r="M576" s="31">
        <f>L576*(1+BW576/100)</f>
        <v>0</v>
      </c>
      <c r="N576" s="31">
        <v>3.8999999999999999E-4</v>
      </c>
      <c r="O576" s="31">
        <f>G576*N576</f>
        <v>3.8999999999999998E-3</v>
      </c>
      <c r="P576" s="33" t="s">
        <v>57</v>
      </c>
      <c r="Z576" s="31">
        <f>IF(AQ576="5",BJ576,0)</f>
        <v>0</v>
      </c>
      <c r="AB576" s="31">
        <f>IF(AQ576="1",BH576,0)</f>
        <v>0</v>
      </c>
      <c r="AC576" s="31">
        <f>IF(AQ576="1",BI576,0)</f>
        <v>0</v>
      </c>
      <c r="AD576" s="31">
        <f>IF(AQ576="7",BH576,0)</f>
        <v>0</v>
      </c>
      <c r="AE576" s="31">
        <f>IF(AQ576="7",BI576,0)</f>
        <v>0</v>
      </c>
      <c r="AF576" s="31">
        <f>IF(AQ576="2",BH576,0)</f>
        <v>0</v>
      </c>
      <c r="AG576" s="31">
        <f>IF(AQ576="2",BI576,0)</f>
        <v>0</v>
      </c>
      <c r="AH576" s="31">
        <f>IF(AQ576="0",BJ576,0)</f>
        <v>0</v>
      </c>
      <c r="AI576" s="12" t="s">
        <v>49</v>
      </c>
      <c r="AJ576" s="31">
        <f>IF(AN576=0,L576,0)</f>
        <v>0</v>
      </c>
      <c r="AK576" s="31">
        <f>IF(AN576=12,L576,0)</f>
        <v>0</v>
      </c>
      <c r="AL576" s="31">
        <f>IF(AN576=21,L576,0)</f>
        <v>0</v>
      </c>
      <c r="AN576" s="31">
        <v>21</v>
      </c>
      <c r="AO576" s="31">
        <f>H576*0.220772201</f>
        <v>0</v>
      </c>
      <c r="AP576" s="31">
        <f>H576*(1-0.220772201)</f>
        <v>0</v>
      </c>
      <c r="AQ576" s="32" t="s">
        <v>63</v>
      </c>
      <c r="AV576" s="31">
        <f>AW576+AX576</f>
        <v>0</v>
      </c>
      <c r="AW576" s="31">
        <f>G576*AO576</f>
        <v>0</v>
      </c>
      <c r="AX576" s="31">
        <f>G576*AP576</f>
        <v>0</v>
      </c>
      <c r="AY576" s="32" t="s">
        <v>1179</v>
      </c>
      <c r="AZ576" s="32" t="s">
        <v>1003</v>
      </c>
      <c r="BA576" s="12" t="s">
        <v>60</v>
      </c>
      <c r="BC576" s="31">
        <f>AW576+AX576</f>
        <v>0</v>
      </c>
      <c r="BD576" s="31">
        <f>H576/(100-BE576)*100</f>
        <v>0</v>
      </c>
      <c r="BE576" s="31">
        <v>0</v>
      </c>
      <c r="BF576" s="31">
        <f>O576</f>
        <v>3.8999999999999998E-3</v>
      </c>
      <c r="BH576" s="31">
        <f>G576*AO576</f>
        <v>0</v>
      </c>
      <c r="BI576" s="31">
        <f>G576*AP576</f>
        <v>0</v>
      </c>
      <c r="BJ576" s="31">
        <f>G576*H576</f>
        <v>0</v>
      </c>
      <c r="BK576" s="31"/>
      <c r="BL576" s="31"/>
      <c r="BW576" s="31" t="str">
        <f>I576</f>
        <v>21</v>
      </c>
      <c r="BX576" s="4" t="s">
        <v>1199</v>
      </c>
    </row>
    <row r="577" spans="1:76" ht="14.35" x14ac:dyDescent="0.5">
      <c r="A577" s="34"/>
      <c r="D577" s="35" t="s">
        <v>1200</v>
      </c>
      <c r="E577" s="35" t="s">
        <v>1201</v>
      </c>
      <c r="G577" s="36">
        <v>10</v>
      </c>
      <c r="P577" s="37"/>
    </row>
    <row r="578" spans="1:76" ht="14.35" x14ac:dyDescent="0.5">
      <c r="A578" s="2" t="s">
        <v>1202</v>
      </c>
      <c r="B578" s="3" t="s">
        <v>49</v>
      </c>
      <c r="C578" s="3" t="s">
        <v>1203</v>
      </c>
      <c r="D578" s="72" t="s">
        <v>1204</v>
      </c>
      <c r="E578" s="73"/>
      <c r="F578" s="3" t="s">
        <v>179</v>
      </c>
      <c r="G578" s="31">
        <v>8</v>
      </c>
      <c r="H578" s="71"/>
      <c r="I578" s="32" t="s">
        <v>56</v>
      </c>
      <c r="J578" s="31">
        <f>G578*AO578</f>
        <v>0</v>
      </c>
      <c r="K578" s="31">
        <f>G578*AP578</f>
        <v>0</v>
      </c>
      <c r="L578" s="31">
        <f>G578*H578</f>
        <v>0</v>
      </c>
      <c r="M578" s="31">
        <f>L578*(1+BW578/100)</f>
        <v>0</v>
      </c>
      <c r="N578" s="31">
        <v>1.2999999999999999E-4</v>
      </c>
      <c r="O578" s="31">
        <f>G578*N578</f>
        <v>1.0399999999999999E-3</v>
      </c>
      <c r="P578" s="33" t="s">
        <v>57</v>
      </c>
      <c r="Z578" s="31">
        <f>IF(AQ578="5",BJ578,0)</f>
        <v>0</v>
      </c>
      <c r="AB578" s="31">
        <f>IF(AQ578="1",BH578,0)</f>
        <v>0</v>
      </c>
      <c r="AC578" s="31">
        <f>IF(AQ578="1",BI578,0)</f>
        <v>0</v>
      </c>
      <c r="AD578" s="31">
        <f>IF(AQ578="7",BH578,0)</f>
        <v>0</v>
      </c>
      <c r="AE578" s="31">
        <f>IF(AQ578="7",BI578,0)</f>
        <v>0</v>
      </c>
      <c r="AF578" s="31">
        <f>IF(AQ578="2",BH578,0)</f>
        <v>0</v>
      </c>
      <c r="AG578" s="31">
        <f>IF(AQ578="2",BI578,0)</f>
        <v>0</v>
      </c>
      <c r="AH578" s="31">
        <f>IF(AQ578="0",BJ578,0)</f>
        <v>0</v>
      </c>
      <c r="AI578" s="12" t="s">
        <v>49</v>
      </c>
      <c r="AJ578" s="31">
        <f>IF(AN578=0,L578,0)</f>
        <v>0</v>
      </c>
      <c r="AK578" s="31">
        <f>IF(AN578=12,L578,0)</f>
        <v>0</v>
      </c>
      <c r="AL578" s="31">
        <f>IF(AN578=21,L578,0)</f>
        <v>0</v>
      </c>
      <c r="AN578" s="31">
        <v>21</v>
      </c>
      <c r="AO578" s="31">
        <f>H578*0.096689038</f>
        <v>0</v>
      </c>
      <c r="AP578" s="31">
        <f>H578*(1-0.096689038)</f>
        <v>0</v>
      </c>
      <c r="AQ578" s="32" t="s">
        <v>63</v>
      </c>
      <c r="AV578" s="31">
        <f>AW578+AX578</f>
        <v>0</v>
      </c>
      <c r="AW578" s="31">
        <f>G578*AO578</f>
        <v>0</v>
      </c>
      <c r="AX578" s="31">
        <f>G578*AP578</f>
        <v>0</v>
      </c>
      <c r="AY578" s="32" t="s">
        <v>1179</v>
      </c>
      <c r="AZ578" s="32" t="s">
        <v>1003</v>
      </c>
      <c r="BA578" s="12" t="s">
        <v>60</v>
      </c>
      <c r="BC578" s="31">
        <f>AW578+AX578</f>
        <v>0</v>
      </c>
      <c r="BD578" s="31">
        <f>H578/(100-BE578)*100</f>
        <v>0</v>
      </c>
      <c r="BE578" s="31">
        <v>0</v>
      </c>
      <c r="BF578" s="31">
        <f>O578</f>
        <v>1.0399999999999999E-3</v>
      </c>
      <c r="BH578" s="31">
        <f>G578*AO578</f>
        <v>0</v>
      </c>
      <c r="BI578" s="31">
        <f>G578*AP578</f>
        <v>0</v>
      </c>
      <c r="BJ578" s="31">
        <f>G578*H578</f>
        <v>0</v>
      </c>
      <c r="BK578" s="31"/>
      <c r="BL578" s="31"/>
      <c r="BW578" s="31" t="str">
        <f>I578</f>
        <v>21</v>
      </c>
      <c r="BX578" s="4" t="s">
        <v>1204</v>
      </c>
    </row>
    <row r="579" spans="1:76" ht="14.35" x14ac:dyDescent="0.5">
      <c r="A579" s="34"/>
      <c r="D579" s="35" t="s">
        <v>95</v>
      </c>
      <c r="E579" s="35" t="s">
        <v>1205</v>
      </c>
      <c r="G579" s="36">
        <v>8</v>
      </c>
      <c r="P579" s="37"/>
    </row>
    <row r="580" spans="1:76" ht="14.35" x14ac:dyDescent="0.5">
      <c r="A580" s="2" t="s">
        <v>1206</v>
      </c>
      <c r="B580" s="3" t="s">
        <v>49</v>
      </c>
      <c r="C580" s="3" t="s">
        <v>1207</v>
      </c>
      <c r="D580" s="72" t="s">
        <v>1208</v>
      </c>
      <c r="E580" s="73"/>
      <c r="F580" s="3" t="s">
        <v>179</v>
      </c>
      <c r="G580" s="31">
        <v>8</v>
      </c>
      <c r="H580" s="71"/>
      <c r="I580" s="32" t="s">
        <v>56</v>
      </c>
      <c r="J580" s="31">
        <f>G580*AO580</f>
        <v>0</v>
      </c>
      <c r="K580" s="31">
        <f>G580*AP580</f>
        <v>0</v>
      </c>
      <c r="L580" s="31">
        <f>G580*H580</f>
        <v>0</v>
      </c>
      <c r="M580" s="31">
        <f>L580*(1+BW580/100)</f>
        <v>0</v>
      </c>
      <c r="N580" s="31">
        <v>0</v>
      </c>
      <c r="O580" s="31">
        <f>G580*N580</f>
        <v>0</v>
      </c>
      <c r="P580" s="33" t="s">
        <v>57</v>
      </c>
      <c r="Z580" s="31">
        <f>IF(AQ580="5",BJ580,0)</f>
        <v>0</v>
      </c>
      <c r="AB580" s="31">
        <f>IF(AQ580="1",BH580,0)</f>
        <v>0</v>
      </c>
      <c r="AC580" s="31">
        <f>IF(AQ580="1",BI580,0)</f>
        <v>0</v>
      </c>
      <c r="AD580" s="31">
        <f>IF(AQ580="7",BH580,0)</f>
        <v>0</v>
      </c>
      <c r="AE580" s="31">
        <f>IF(AQ580="7",BI580,0)</f>
        <v>0</v>
      </c>
      <c r="AF580" s="31">
        <f>IF(AQ580="2",BH580,0)</f>
        <v>0</v>
      </c>
      <c r="AG580" s="31">
        <f>IF(AQ580="2",BI580,0)</f>
        <v>0</v>
      </c>
      <c r="AH580" s="31">
        <f>IF(AQ580="0",BJ580,0)</f>
        <v>0</v>
      </c>
      <c r="AI580" s="12" t="s">
        <v>49</v>
      </c>
      <c r="AJ580" s="31">
        <f>IF(AN580=0,L580,0)</f>
        <v>0</v>
      </c>
      <c r="AK580" s="31">
        <f>IF(AN580=12,L580,0)</f>
        <v>0</v>
      </c>
      <c r="AL580" s="31">
        <f>IF(AN580=21,L580,0)</f>
        <v>0</v>
      </c>
      <c r="AN580" s="31">
        <v>21</v>
      </c>
      <c r="AO580" s="31">
        <f>H580*0</f>
        <v>0</v>
      </c>
      <c r="AP580" s="31">
        <f>H580*(1-0)</f>
        <v>0</v>
      </c>
      <c r="AQ580" s="32" t="s">
        <v>63</v>
      </c>
      <c r="AV580" s="31">
        <f>AW580+AX580</f>
        <v>0</v>
      </c>
      <c r="AW580" s="31">
        <f>G580*AO580</f>
        <v>0</v>
      </c>
      <c r="AX580" s="31">
        <f>G580*AP580</f>
        <v>0</v>
      </c>
      <c r="AY580" s="32" t="s">
        <v>1179</v>
      </c>
      <c r="AZ580" s="32" t="s">
        <v>1003</v>
      </c>
      <c r="BA580" s="12" t="s">
        <v>60</v>
      </c>
      <c r="BC580" s="31">
        <f>AW580+AX580</f>
        <v>0</v>
      </c>
      <c r="BD580" s="31">
        <f>H580/(100-BE580)*100</f>
        <v>0</v>
      </c>
      <c r="BE580" s="31">
        <v>0</v>
      </c>
      <c r="BF580" s="31">
        <f>O580</f>
        <v>0</v>
      </c>
      <c r="BH580" s="31">
        <f>G580*AO580</f>
        <v>0</v>
      </c>
      <c r="BI580" s="31">
        <f>G580*AP580</f>
        <v>0</v>
      </c>
      <c r="BJ580" s="31">
        <f>G580*H580</f>
        <v>0</v>
      </c>
      <c r="BK580" s="31"/>
      <c r="BL580" s="31"/>
      <c r="BW580" s="31" t="str">
        <f>I580</f>
        <v>21</v>
      </c>
      <c r="BX580" s="4" t="s">
        <v>1208</v>
      </c>
    </row>
    <row r="581" spans="1:76" ht="14.35" x14ac:dyDescent="0.5">
      <c r="A581" s="34"/>
      <c r="D581" s="35" t="s">
        <v>95</v>
      </c>
      <c r="E581" s="35" t="s">
        <v>1209</v>
      </c>
      <c r="G581" s="36">
        <v>8</v>
      </c>
      <c r="P581" s="37"/>
    </row>
    <row r="582" spans="1:76" ht="14.35" x14ac:dyDescent="0.5">
      <c r="A582" s="2" t="s">
        <v>1210</v>
      </c>
      <c r="B582" s="3" t="s">
        <v>49</v>
      </c>
      <c r="C582" s="3" t="s">
        <v>1211</v>
      </c>
      <c r="D582" s="72" t="s">
        <v>1212</v>
      </c>
      <c r="E582" s="73"/>
      <c r="F582" s="3" t="s">
        <v>150</v>
      </c>
      <c r="G582" s="31">
        <v>100</v>
      </c>
      <c r="H582" s="71"/>
      <c r="I582" s="32" t="s">
        <v>56</v>
      </c>
      <c r="J582" s="31">
        <f>G582*AO582</f>
        <v>0</v>
      </c>
      <c r="K582" s="31">
        <f>G582*AP582</f>
        <v>0</v>
      </c>
      <c r="L582" s="31">
        <f>G582*H582</f>
        <v>0</v>
      </c>
      <c r="M582" s="31">
        <f>L582*(1+BW582/100)</f>
        <v>0</v>
      </c>
      <c r="N582" s="31">
        <v>0</v>
      </c>
      <c r="O582" s="31">
        <f>G582*N582</f>
        <v>0</v>
      </c>
      <c r="P582" s="33" t="s">
        <v>57</v>
      </c>
      <c r="Z582" s="31">
        <f>IF(AQ582="5",BJ582,0)</f>
        <v>0</v>
      </c>
      <c r="AB582" s="31">
        <f>IF(AQ582="1",BH582,0)</f>
        <v>0</v>
      </c>
      <c r="AC582" s="31">
        <f>IF(AQ582="1",BI582,0)</f>
        <v>0</v>
      </c>
      <c r="AD582" s="31">
        <f>IF(AQ582="7",BH582,0)</f>
        <v>0</v>
      </c>
      <c r="AE582" s="31">
        <f>IF(AQ582="7",BI582,0)</f>
        <v>0</v>
      </c>
      <c r="AF582" s="31">
        <f>IF(AQ582="2",BH582,0)</f>
        <v>0</v>
      </c>
      <c r="AG582" s="31">
        <f>IF(AQ582="2",BI582,0)</f>
        <v>0</v>
      </c>
      <c r="AH582" s="31">
        <f>IF(AQ582="0",BJ582,0)</f>
        <v>0</v>
      </c>
      <c r="AI582" s="12" t="s">
        <v>49</v>
      </c>
      <c r="AJ582" s="31">
        <f>IF(AN582=0,L582,0)</f>
        <v>0</v>
      </c>
      <c r="AK582" s="31">
        <f>IF(AN582=12,L582,0)</f>
        <v>0</v>
      </c>
      <c r="AL582" s="31">
        <f>IF(AN582=21,L582,0)</f>
        <v>0</v>
      </c>
      <c r="AN582" s="31">
        <v>21</v>
      </c>
      <c r="AO582" s="31">
        <f>H582*0</f>
        <v>0</v>
      </c>
      <c r="AP582" s="31">
        <f>H582*(1-0)</f>
        <v>0</v>
      </c>
      <c r="AQ582" s="32" t="s">
        <v>63</v>
      </c>
      <c r="AV582" s="31">
        <f>AW582+AX582</f>
        <v>0</v>
      </c>
      <c r="AW582" s="31">
        <f>G582*AO582</f>
        <v>0</v>
      </c>
      <c r="AX582" s="31">
        <f>G582*AP582</f>
        <v>0</v>
      </c>
      <c r="AY582" s="32" t="s">
        <v>1179</v>
      </c>
      <c r="AZ582" s="32" t="s">
        <v>1003</v>
      </c>
      <c r="BA582" s="12" t="s">
        <v>60</v>
      </c>
      <c r="BC582" s="31">
        <f>AW582+AX582</f>
        <v>0</v>
      </c>
      <c r="BD582" s="31">
        <f>H582/(100-BE582)*100</f>
        <v>0</v>
      </c>
      <c r="BE582" s="31">
        <v>0</v>
      </c>
      <c r="BF582" s="31">
        <f>O582</f>
        <v>0</v>
      </c>
      <c r="BH582" s="31">
        <f>G582*AO582</f>
        <v>0</v>
      </c>
      <c r="BI582" s="31">
        <f>G582*AP582</f>
        <v>0</v>
      </c>
      <c r="BJ582" s="31">
        <f>G582*H582</f>
        <v>0</v>
      </c>
      <c r="BK582" s="31"/>
      <c r="BL582" s="31"/>
      <c r="BW582" s="31" t="str">
        <f>I582</f>
        <v>21</v>
      </c>
      <c r="BX582" s="4" t="s">
        <v>1212</v>
      </c>
    </row>
    <row r="583" spans="1:76" ht="14.35" x14ac:dyDescent="0.5">
      <c r="A583" s="34"/>
      <c r="D583" s="35" t="s">
        <v>610</v>
      </c>
      <c r="E583" s="35" t="s">
        <v>1213</v>
      </c>
      <c r="G583" s="36">
        <v>100</v>
      </c>
      <c r="P583" s="37"/>
    </row>
    <row r="584" spans="1:76" ht="14.35" x14ac:dyDescent="0.5">
      <c r="A584" s="2" t="s">
        <v>1214</v>
      </c>
      <c r="B584" s="3" t="s">
        <v>49</v>
      </c>
      <c r="C584" s="3" t="s">
        <v>1215</v>
      </c>
      <c r="D584" s="72" t="s">
        <v>1216</v>
      </c>
      <c r="E584" s="73"/>
      <c r="F584" s="3" t="s">
        <v>150</v>
      </c>
      <c r="G584" s="31">
        <v>100</v>
      </c>
      <c r="H584" s="71"/>
      <c r="I584" s="32" t="s">
        <v>56</v>
      </c>
      <c r="J584" s="31">
        <f>G584*AO584</f>
        <v>0</v>
      </c>
      <c r="K584" s="31">
        <f>G584*AP584</f>
        <v>0</v>
      </c>
      <c r="L584" s="31">
        <f>G584*H584</f>
        <v>0</v>
      </c>
      <c r="M584" s="31">
        <f>L584*(1+BW584/100)</f>
        <v>0</v>
      </c>
      <c r="N584" s="31">
        <v>0</v>
      </c>
      <c r="O584" s="31">
        <f>G584*N584</f>
        <v>0</v>
      </c>
      <c r="P584" s="33" t="s">
        <v>57</v>
      </c>
      <c r="Z584" s="31">
        <f>IF(AQ584="5",BJ584,0)</f>
        <v>0</v>
      </c>
      <c r="AB584" s="31">
        <f>IF(AQ584="1",BH584,0)</f>
        <v>0</v>
      </c>
      <c r="AC584" s="31">
        <f>IF(AQ584="1",BI584,0)</f>
        <v>0</v>
      </c>
      <c r="AD584" s="31">
        <f>IF(AQ584="7",BH584,0)</f>
        <v>0</v>
      </c>
      <c r="AE584" s="31">
        <f>IF(AQ584="7",BI584,0)</f>
        <v>0</v>
      </c>
      <c r="AF584" s="31">
        <f>IF(AQ584="2",BH584,0)</f>
        <v>0</v>
      </c>
      <c r="AG584" s="31">
        <f>IF(AQ584="2",BI584,0)</f>
        <v>0</v>
      </c>
      <c r="AH584" s="31">
        <f>IF(AQ584="0",BJ584,0)</f>
        <v>0</v>
      </c>
      <c r="AI584" s="12" t="s">
        <v>49</v>
      </c>
      <c r="AJ584" s="31">
        <f>IF(AN584=0,L584,0)</f>
        <v>0</v>
      </c>
      <c r="AK584" s="31">
        <f>IF(AN584=12,L584,0)</f>
        <v>0</v>
      </c>
      <c r="AL584" s="31">
        <f>IF(AN584=21,L584,0)</f>
        <v>0</v>
      </c>
      <c r="AN584" s="31">
        <v>21</v>
      </c>
      <c r="AO584" s="31">
        <f>H584*0</f>
        <v>0</v>
      </c>
      <c r="AP584" s="31">
        <f>H584*(1-0)</f>
        <v>0</v>
      </c>
      <c r="AQ584" s="32" t="s">
        <v>63</v>
      </c>
      <c r="AV584" s="31">
        <f>AW584+AX584</f>
        <v>0</v>
      </c>
      <c r="AW584" s="31">
        <f>G584*AO584</f>
        <v>0</v>
      </c>
      <c r="AX584" s="31">
        <f>G584*AP584</f>
        <v>0</v>
      </c>
      <c r="AY584" s="32" t="s">
        <v>1179</v>
      </c>
      <c r="AZ584" s="32" t="s">
        <v>1003</v>
      </c>
      <c r="BA584" s="12" t="s">
        <v>60</v>
      </c>
      <c r="BC584" s="31">
        <f>AW584+AX584</f>
        <v>0</v>
      </c>
      <c r="BD584" s="31">
        <f>H584/(100-BE584)*100</f>
        <v>0</v>
      </c>
      <c r="BE584" s="31">
        <v>0</v>
      </c>
      <c r="BF584" s="31">
        <f>O584</f>
        <v>0</v>
      </c>
      <c r="BH584" s="31">
        <f>G584*AO584</f>
        <v>0</v>
      </c>
      <c r="BI584" s="31">
        <f>G584*AP584</f>
        <v>0</v>
      </c>
      <c r="BJ584" s="31">
        <f>G584*H584</f>
        <v>0</v>
      </c>
      <c r="BK584" s="31"/>
      <c r="BL584" s="31"/>
      <c r="BW584" s="31" t="str">
        <f>I584</f>
        <v>21</v>
      </c>
      <c r="BX584" s="4" t="s">
        <v>1216</v>
      </c>
    </row>
    <row r="585" spans="1:76" ht="14.35" x14ac:dyDescent="0.5">
      <c r="A585" s="34"/>
      <c r="D585" s="35" t="s">
        <v>610</v>
      </c>
      <c r="E585" s="35" t="s">
        <v>1213</v>
      </c>
      <c r="G585" s="36">
        <v>100</v>
      </c>
      <c r="P585" s="37"/>
    </row>
    <row r="586" spans="1:76" ht="14.35" x14ac:dyDescent="0.5">
      <c r="A586" s="2" t="s">
        <v>1217</v>
      </c>
      <c r="B586" s="3" t="s">
        <v>49</v>
      </c>
      <c r="C586" s="3" t="s">
        <v>1218</v>
      </c>
      <c r="D586" s="72" t="s">
        <v>1219</v>
      </c>
      <c r="E586" s="73"/>
      <c r="F586" s="3" t="s">
        <v>131</v>
      </c>
      <c r="G586" s="31">
        <v>100</v>
      </c>
      <c r="H586" s="71"/>
      <c r="I586" s="32" t="s">
        <v>56</v>
      </c>
      <c r="J586" s="31">
        <f>G586*AO586</f>
        <v>0</v>
      </c>
      <c r="K586" s="31">
        <f>G586*AP586</f>
        <v>0</v>
      </c>
      <c r="L586" s="31">
        <f>G586*H586</f>
        <v>0</v>
      </c>
      <c r="M586" s="31">
        <f>L586*(1+BW586/100)</f>
        <v>0</v>
      </c>
      <c r="N586" s="31">
        <v>1E-3</v>
      </c>
      <c r="O586" s="31">
        <f>G586*N586</f>
        <v>0.1</v>
      </c>
      <c r="P586" s="33" t="s">
        <v>57</v>
      </c>
      <c r="Z586" s="31">
        <f>IF(AQ586="5",BJ586,0)</f>
        <v>0</v>
      </c>
      <c r="AB586" s="31">
        <f>IF(AQ586="1",BH586,0)</f>
        <v>0</v>
      </c>
      <c r="AC586" s="31">
        <f>IF(AQ586="1",BI586,0)</f>
        <v>0</v>
      </c>
      <c r="AD586" s="31">
        <f>IF(AQ586="7",BH586,0)</f>
        <v>0</v>
      </c>
      <c r="AE586" s="31">
        <f>IF(AQ586="7",BI586,0)</f>
        <v>0</v>
      </c>
      <c r="AF586" s="31">
        <f>IF(AQ586="2",BH586,0)</f>
        <v>0</v>
      </c>
      <c r="AG586" s="31">
        <f>IF(AQ586="2",BI586,0)</f>
        <v>0</v>
      </c>
      <c r="AH586" s="31">
        <f>IF(AQ586="0",BJ586,0)</f>
        <v>0</v>
      </c>
      <c r="AI586" s="12" t="s">
        <v>49</v>
      </c>
      <c r="AJ586" s="31">
        <f>IF(AN586=0,L586,0)</f>
        <v>0</v>
      </c>
      <c r="AK586" s="31">
        <f>IF(AN586=12,L586,0)</f>
        <v>0</v>
      </c>
      <c r="AL586" s="31">
        <f>IF(AN586=21,L586,0)</f>
        <v>0</v>
      </c>
      <c r="AN586" s="31">
        <v>21</v>
      </c>
      <c r="AO586" s="31">
        <f>H586*1</f>
        <v>0</v>
      </c>
      <c r="AP586" s="31">
        <f>H586*(1-1)</f>
        <v>0</v>
      </c>
      <c r="AQ586" s="32" t="s">
        <v>52</v>
      </c>
      <c r="AV586" s="31">
        <f>AW586+AX586</f>
        <v>0</v>
      </c>
      <c r="AW586" s="31">
        <f>G586*AO586</f>
        <v>0</v>
      </c>
      <c r="AX586" s="31">
        <f>G586*AP586</f>
        <v>0</v>
      </c>
      <c r="AY586" s="32" t="s">
        <v>1179</v>
      </c>
      <c r="AZ586" s="32" t="s">
        <v>1003</v>
      </c>
      <c r="BA586" s="12" t="s">
        <v>60</v>
      </c>
      <c r="BC586" s="31">
        <f>AW586+AX586</f>
        <v>0</v>
      </c>
      <c r="BD586" s="31">
        <f>H586/(100-BE586)*100</f>
        <v>0</v>
      </c>
      <c r="BE586" s="31">
        <v>0</v>
      </c>
      <c r="BF586" s="31">
        <f>O586</f>
        <v>0.1</v>
      </c>
      <c r="BH586" s="31">
        <f>G586*AO586</f>
        <v>0</v>
      </c>
      <c r="BI586" s="31">
        <f>G586*AP586</f>
        <v>0</v>
      </c>
      <c r="BJ586" s="31">
        <f>G586*H586</f>
        <v>0</v>
      </c>
      <c r="BK586" s="31"/>
      <c r="BL586" s="31"/>
      <c r="BW586" s="31" t="str">
        <f>I586</f>
        <v>21</v>
      </c>
      <c r="BX586" s="4" t="s">
        <v>1219</v>
      </c>
    </row>
    <row r="587" spans="1:76" ht="14.35" x14ac:dyDescent="0.5">
      <c r="A587" s="2" t="s">
        <v>1220</v>
      </c>
      <c r="B587" s="3" t="s">
        <v>49</v>
      </c>
      <c r="C587" s="3" t="s">
        <v>1221</v>
      </c>
      <c r="D587" s="72" t="s">
        <v>1222</v>
      </c>
      <c r="E587" s="73"/>
      <c r="F587" s="3" t="s">
        <v>179</v>
      </c>
      <c r="G587" s="31">
        <v>10</v>
      </c>
      <c r="H587" s="71"/>
      <c r="I587" s="32" t="s">
        <v>56</v>
      </c>
      <c r="J587" s="31">
        <f>G587*AO587</f>
        <v>0</v>
      </c>
      <c r="K587" s="31">
        <f>G587*AP587</f>
        <v>0</v>
      </c>
      <c r="L587" s="31">
        <f>G587*H587</f>
        <v>0</v>
      </c>
      <c r="M587" s="31">
        <f>L587*(1+BW587/100)</f>
        <v>0</v>
      </c>
      <c r="N587" s="31">
        <v>0</v>
      </c>
      <c r="O587" s="31">
        <f>G587*N587</f>
        <v>0</v>
      </c>
      <c r="P587" s="33" t="s">
        <v>57</v>
      </c>
      <c r="Z587" s="31">
        <f>IF(AQ587="5",BJ587,0)</f>
        <v>0</v>
      </c>
      <c r="AB587" s="31">
        <f>IF(AQ587="1",BH587,0)</f>
        <v>0</v>
      </c>
      <c r="AC587" s="31">
        <f>IF(AQ587="1",BI587,0)</f>
        <v>0</v>
      </c>
      <c r="AD587" s="31">
        <f>IF(AQ587="7",BH587,0)</f>
        <v>0</v>
      </c>
      <c r="AE587" s="31">
        <f>IF(AQ587="7",BI587,0)</f>
        <v>0</v>
      </c>
      <c r="AF587" s="31">
        <f>IF(AQ587="2",BH587,0)</f>
        <v>0</v>
      </c>
      <c r="AG587" s="31">
        <f>IF(AQ587="2",BI587,0)</f>
        <v>0</v>
      </c>
      <c r="AH587" s="31">
        <f>IF(AQ587="0",BJ587,0)</f>
        <v>0</v>
      </c>
      <c r="AI587" s="12" t="s">
        <v>49</v>
      </c>
      <c r="AJ587" s="31">
        <f>IF(AN587=0,L587,0)</f>
        <v>0</v>
      </c>
      <c r="AK587" s="31">
        <f>IF(AN587=12,L587,0)</f>
        <v>0</v>
      </c>
      <c r="AL587" s="31">
        <f>IF(AN587=21,L587,0)</f>
        <v>0</v>
      </c>
      <c r="AN587" s="31">
        <v>21</v>
      </c>
      <c r="AO587" s="31">
        <f>H587*0</f>
        <v>0</v>
      </c>
      <c r="AP587" s="31">
        <f>H587*(1-0)</f>
        <v>0</v>
      </c>
      <c r="AQ587" s="32" t="s">
        <v>63</v>
      </c>
      <c r="AV587" s="31">
        <f>AW587+AX587</f>
        <v>0</v>
      </c>
      <c r="AW587" s="31">
        <f>G587*AO587</f>
        <v>0</v>
      </c>
      <c r="AX587" s="31">
        <f>G587*AP587</f>
        <v>0</v>
      </c>
      <c r="AY587" s="32" t="s">
        <v>1179</v>
      </c>
      <c r="AZ587" s="32" t="s">
        <v>1003</v>
      </c>
      <c r="BA587" s="12" t="s">
        <v>60</v>
      </c>
      <c r="BC587" s="31">
        <f>AW587+AX587</f>
        <v>0</v>
      </c>
      <c r="BD587" s="31">
        <f>H587/(100-BE587)*100</f>
        <v>0</v>
      </c>
      <c r="BE587" s="31">
        <v>0</v>
      </c>
      <c r="BF587" s="31">
        <f>O587</f>
        <v>0</v>
      </c>
      <c r="BH587" s="31">
        <f>G587*AO587</f>
        <v>0</v>
      </c>
      <c r="BI587" s="31">
        <f>G587*AP587</f>
        <v>0</v>
      </c>
      <c r="BJ587" s="31">
        <f>G587*H587</f>
        <v>0</v>
      </c>
      <c r="BK587" s="31"/>
      <c r="BL587" s="31"/>
      <c r="BW587" s="31" t="str">
        <f>I587</f>
        <v>21</v>
      </c>
      <c r="BX587" s="4" t="s">
        <v>1222</v>
      </c>
    </row>
    <row r="588" spans="1:76" ht="14.35" x14ac:dyDescent="0.5">
      <c r="A588" s="34"/>
      <c r="D588" s="35" t="s">
        <v>105</v>
      </c>
      <c r="E588" s="35" t="s">
        <v>1223</v>
      </c>
      <c r="G588" s="36">
        <v>10</v>
      </c>
      <c r="P588" s="37"/>
    </row>
    <row r="589" spans="1:76" ht="14.35" x14ac:dyDescent="0.5">
      <c r="A589" s="2" t="s">
        <v>1224</v>
      </c>
      <c r="B589" s="3" t="s">
        <v>49</v>
      </c>
      <c r="C589" s="3" t="s">
        <v>1225</v>
      </c>
      <c r="D589" s="72" t="s">
        <v>1226</v>
      </c>
      <c r="E589" s="73"/>
      <c r="F589" s="3" t="s">
        <v>179</v>
      </c>
      <c r="G589" s="31">
        <v>10</v>
      </c>
      <c r="H589" s="71"/>
      <c r="I589" s="32" t="s">
        <v>56</v>
      </c>
      <c r="J589" s="31">
        <f>G589*AO589</f>
        <v>0</v>
      </c>
      <c r="K589" s="31">
        <f>G589*AP589</f>
        <v>0</v>
      </c>
      <c r="L589" s="31">
        <f>G589*H589</f>
        <v>0</v>
      </c>
      <c r="M589" s="31">
        <f>L589*(1+BW589/100)</f>
        <v>0</v>
      </c>
      <c r="N589" s="31">
        <v>4.2000000000000002E-4</v>
      </c>
      <c r="O589" s="31">
        <f>G589*N589</f>
        <v>4.2000000000000006E-3</v>
      </c>
      <c r="P589" s="33" t="s">
        <v>57</v>
      </c>
      <c r="Z589" s="31">
        <f>IF(AQ589="5",BJ589,0)</f>
        <v>0</v>
      </c>
      <c r="AB589" s="31">
        <f>IF(AQ589="1",BH589,0)</f>
        <v>0</v>
      </c>
      <c r="AC589" s="31">
        <f>IF(AQ589="1",BI589,0)</f>
        <v>0</v>
      </c>
      <c r="AD589" s="31">
        <f>IF(AQ589="7",BH589,0)</f>
        <v>0</v>
      </c>
      <c r="AE589" s="31">
        <f>IF(AQ589="7",BI589,0)</f>
        <v>0</v>
      </c>
      <c r="AF589" s="31">
        <f>IF(AQ589="2",BH589,0)</f>
        <v>0</v>
      </c>
      <c r="AG589" s="31">
        <f>IF(AQ589="2",BI589,0)</f>
        <v>0</v>
      </c>
      <c r="AH589" s="31">
        <f>IF(AQ589="0",BJ589,0)</f>
        <v>0</v>
      </c>
      <c r="AI589" s="12" t="s">
        <v>49</v>
      </c>
      <c r="AJ589" s="31">
        <f>IF(AN589=0,L589,0)</f>
        <v>0</v>
      </c>
      <c r="AK589" s="31">
        <f>IF(AN589=12,L589,0)</f>
        <v>0</v>
      </c>
      <c r="AL589" s="31">
        <f>IF(AN589=21,L589,0)</f>
        <v>0</v>
      </c>
      <c r="AN589" s="31">
        <v>21</v>
      </c>
      <c r="AO589" s="31">
        <f>H589*1</f>
        <v>0</v>
      </c>
      <c r="AP589" s="31">
        <f>H589*(1-1)</f>
        <v>0</v>
      </c>
      <c r="AQ589" s="32" t="s">
        <v>52</v>
      </c>
      <c r="AV589" s="31">
        <f>AW589+AX589</f>
        <v>0</v>
      </c>
      <c r="AW589" s="31">
        <f>G589*AO589</f>
        <v>0</v>
      </c>
      <c r="AX589" s="31">
        <f>G589*AP589</f>
        <v>0</v>
      </c>
      <c r="AY589" s="32" t="s">
        <v>1179</v>
      </c>
      <c r="AZ589" s="32" t="s">
        <v>1003</v>
      </c>
      <c r="BA589" s="12" t="s">
        <v>60</v>
      </c>
      <c r="BC589" s="31">
        <f>AW589+AX589</f>
        <v>0</v>
      </c>
      <c r="BD589" s="31">
        <f>H589/(100-BE589)*100</f>
        <v>0</v>
      </c>
      <c r="BE589" s="31">
        <v>0</v>
      </c>
      <c r="BF589" s="31">
        <f>O589</f>
        <v>4.2000000000000006E-3</v>
      </c>
      <c r="BH589" s="31">
        <f>G589*AO589</f>
        <v>0</v>
      </c>
      <c r="BI589" s="31">
        <f>G589*AP589</f>
        <v>0</v>
      </c>
      <c r="BJ589" s="31">
        <f>G589*H589</f>
        <v>0</v>
      </c>
      <c r="BK589" s="31"/>
      <c r="BL589" s="31"/>
      <c r="BW589" s="31" t="str">
        <f>I589</f>
        <v>21</v>
      </c>
      <c r="BX589" s="4" t="s">
        <v>1226</v>
      </c>
    </row>
    <row r="590" spans="1:76" ht="14.35" x14ac:dyDescent="0.5">
      <c r="A590" s="2" t="s">
        <v>1227</v>
      </c>
      <c r="B590" s="3" t="s">
        <v>49</v>
      </c>
      <c r="C590" s="3" t="s">
        <v>1228</v>
      </c>
      <c r="D590" s="72" t="s">
        <v>1229</v>
      </c>
      <c r="E590" s="73"/>
      <c r="F590" s="3" t="s">
        <v>179</v>
      </c>
      <c r="G590" s="31">
        <v>10</v>
      </c>
      <c r="H590" s="71"/>
      <c r="I590" s="32" t="s">
        <v>56</v>
      </c>
      <c r="J590" s="31">
        <f>G590*AO590</f>
        <v>0</v>
      </c>
      <c r="K590" s="31">
        <f>G590*AP590</f>
        <v>0</v>
      </c>
      <c r="L590" s="31">
        <f>G590*H590</f>
        <v>0</v>
      </c>
      <c r="M590" s="31">
        <f>L590*(1+BW590/100)</f>
        <v>0</v>
      </c>
      <c r="N590" s="31">
        <v>7.8600000000000007E-3</v>
      </c>
      <c r="O590" s="31">
        <f>G590*N590</f>
        <v>7.8600000000000003E-2</v>
      </c>
      <c r="P590" s="33" t="s">
        <v>57</v>
      </c>
      <c r="Z590" s="31">
        <f>IF(AQ590="5",BJ590,0)</f>
        <v>0</v>
      </c>
      <c r="AB590" s="31">
        <f>IF(AQ590="1",BH590,0)</f>
        <v>0</v>
      </c>
      <c r="AC590" s="31">
        <f>IF(AQ590="1",BI590,0)</f>
        <v>0</v>
      </c>
      <c r="AD590" s="31">
        <f>IF(AQ590="7",BH590,0)</f>
        <v>0</v>
      </c>
      <c r="AE590" s="31">
        <f>IF(AQ590="7",BI590,0)</f>
        <v>0</v>
      </c>
      <c r="AF590" s="31">
        <f>IF(AQ590="2",BH590,0)</f>
        <v>0</v>
      </c>
      <c r="AG590" s="31">
        <f>IF(AQ590="2",BI590,0)</f>
        <v>0</v>
      </c>
      <c r="AH590" s="31">
        <f>IF(AQ590="0",BJ590,0)</f>
        <v>0</v>
      </c>
      <c r="AI590" s="12" t="s">
        <v>49</v>
      </c>
      <c r="AJ590" s="31">
        <f>IF(AN590=0,L590,0)</f>
        <v>0</v>
      </c>
      <c r="AK590" s="31">
        <f>IF(AN590=12,L590,0)</f>
        <v>0</v>
      </c>
      <c r="AL590" s="31">
        <f>IF(AN590=21,L590,0)</f>
        <v>0</v>
      </c>
      <c r="AN590" s="31">
        <v>21</v>
      </c>
      <c r="AO590" s="31">
        <f>H590*1</f>
        <v>0</v>
      </c>
      <c r="AP590" s="31">
        <f>H590*(1-1)</f>
        <v>0</v>
      </c>
      <c r="AQ590" s="32" t="s">
        <v>52</v>
      </c>
      <c r="AV590" s="31">
        <f>AW590+AX590</f>
        <v>0</v>
      </c>
      <c r="AW590" s="31">
        <f>G590*AO590</f>
        <v>0</v>
      </c>
      <c r="AX590" s="31">
        <f>G590*AP590</f>
        <v>0</v>
      </c>
      <c r="AY590" s="32" t="s">
        <v>1179</v>
      </c>
      <c r="AZ590" s="32" t="s">
        <v>1003</v>
      </c>
      <c r="BA590" s="12" t="s">
        <v>60</v>
      </c>
      <c r="BC590" s="31">
        <f>AW590+AX590</f>
        <v>0</v>
      </c>
      <c r="BD590" s="31">
        <f>H590/(100-BE590)*100</f>
        <v>0</v>
      </c>
      <c r="BE590" s="31">
        <v>0</v>
      </c>
      <c r="BF590" s="31">
        <f>O590</f>
        <v>7.8600000000000003E-2</v>
      </c>
      <c r="BH590" s="31">
        <f>G590*AO590</f>
        <v>0</v>
      </c>
      <c r="BI590" s="31">
        <f>G590*AP590</f>
        <v>0</v>
      </c>
      <c r="BJ590" s="31">
        <f>G590*H590</f>
        <v>0</v>
      </c>
      <c r="BK590" s="31"/>
      <c r="BL590" s="31"/>
      <c r="BW590" s="31" t="str">
        <f>I590</f>
        <v>21</v>
      </c>
      <c r="BX590" s="4" t="s">
        <v>1229</v>
      </c>
    </row>
    <row r="591" spans="1:76" ht="14.35" x14ac:dyDescent="0.5">
      <c r="A591" s="2" t="s">
        <v>1230</v>
      </c>
      <c r="B591" s="3" t="s">
        <v>49</v>
      </c>
      <c r="C591" s="3" t="s">
        <v>1231</v>
      </c>
      <c r="D591" s="72" t="s">
        <v>1232</v>
      </c>
      <c r="E591" s="73"/>
      <c r="F591" s="3" t="s">
        <v>150</v>
      </c>
      <c r="G591" s="31">
        <v>16</v>
      </c>
      <c r="H591" s="71"/>
      <c r="I591" s="32" t="s">
        <v>56</v>
      </c>
      <c r="J591" s="31">
        <f>G591*AO591</f>
        <v>0</v>
      </c>
      <c r="K591" s="31">
        <f>G591*AP591</f>
        <v>0</v>
      </c>
      <c r="L591" s="31">
        <f>G591*H591</f>
        <v>0</v>
      </c>
      <c r="M591" s="31">
        <f>L591*(1+BW591/100)</f>
        <v>0</v>
      </c>
      <c r="N591" s="31">
        <v>0</v>
      </c>
      <c r="O591" s="31">
        <f>G591*N591</f>
        <v>0</v>
      </c>
      <c r="P591" s="33" t="s">
        <v>57</v>
      </c>
      <c r="Z591" s="31">
        <f>IF(AQ591="5",BJ591,0)</f>
        <v>0</v>
      </c>
      <c r="AB591" s="31">
        <f>IF(AQ591="1",BH591,0)</f>
        <v>0</v>
      </c>
      <c r="AC591" s="31">
        <f>IF(AQ591="1",BI591,0)</f>
        <v>0</v>
      </c>
      <c r="AD591" s="31">
        <f>IF(AQ591="7",BH591,0)</f>
        <v>0</v>
      </c>
      <c r="AE591" s="31">
        <f>IF(AQ591="7",BI591,0)</f>
        <v>0</v>
      </c>
      <c r="AF591" s="31">
        <f>IF(AQ591="2",BH591,0)</f>
        <v>0</v>
      </c>
      <c r="AG591" s="31">
        <f>IF(AQ591="2",BI591,0)</f>
        <v>0</v>
      </c>
      <c r="AH591" s="31">
        <f>IF(AQ591="0",BJ591,0)</f>
        <v>0</v>
      </c>
      <c r="AI591" s="12" t="s">
        <v>49</v>
      </c>
      <c r="AJ591" s="31">
        <f>IF(AN591=0,L591,0)</f>
        <v>0</v>
      </c>
      <c r="AK591" s="31">
        <f>IF(AN591=12,L591,0)</f>
        <v>0</v>
      </c>
      <c r="AL591" s="31">
        <f>IF(AN591=21,L591,0)</f>
        <v>0</v>
      </c>
      <c r="AN591" s="31">
        <v>21</v>
      </c>
      <c r="AO591" s="31">
        <f>H591*0</f>
        <v>0</v>
      </c>
      <c r="AP591" s="31">
        <f>H591*(1-0)</f>
        <v>0</v>
      </c>
      <c r="AQ591" s="32" t="s">
        <v>63</v>
      </c>
      <c r="AV591" s="31">
        <f>AW591+AX591</f>
        <v>0</v>
      </c>
      <c r="AW591" s="31">
        <f>G591*AO591</f>
        <v>0</v>
      </c>
      <c r="AX591" s="31">
        <f>G591*AP591</f>
        <v>0</v>
      </c>
      <c r="AY591" s="32" t="s">
        <v>1179</v>
      </c>
      <c r="AZ591" s="32" t="s">
        <v>1003</v>
      </c>
      <c r="BA591" s="12" t="s">
        <v>60</v>
      </c>
      <c r="BC591" s="31">
        <f>AW591+AX591</f>
        <v>0</v>
      </c>
      <c r="BD591" s="31">
        <f>H591/(100-BE591)*100</f>
        <v>0</v>
      </c>
      <c r="BE591" s="31">
        <v>0</v>
      </c>
      <c r="BF591" s="31">
        <f>O591</f>
        <v>0</v>
      </c>
      <c r="BH591" s="31">
        <f>G591*AO591</f>
        <v>0</v>
      </c>
      <c r="BI591" s="31">
        <f>G591*AP591</f>
        <v>0</v>
      </c>
      <c r="BJ591" s="31">
        <f>G591*H591</f>
        <v>0</v>
      </c>
      <c r="BK591" s="31"/>
      <c r="BL591" s="31"/>
      <c r="BW591" s="31" t="str">
        <f>I591</f>
        <v>21</v>
      </c>
      <c r="BX591" s="4" t="s">
        <v>1232</v>
      </c>
    </row>
    <row r="592" spans="1:76" ht="14.35" x14ac:dyDescent="0.5">
      <c r="A592" s="34"/>
      <c r="D592" s="35" t="s">
        <v>1233</v>
      </c>
      <c r="E592" s="35" t="s">
        <v>1234</v>
      </c>
      <c r="G592" s="36">
        <v>16</v>
      </c>
      <c r="P592" s="37"/>
    </row>
    <row r="593" spans="1:76" ht="14.35" x14ac:dyDescent="0.5">
      <c r="A593" s="2" t="s">
        <v>1235</v>
      </c>
      <c r="B593" s="3" t="s">
        <v>49</v>
      </c>
      <c r="C593" s="3" t="s">
        <v>1236</v>
      </c>
      <c r="D593" s="72" t="s">
        <v>1237</v>
      </c>
      <c r="E593" s="73"/>
      <c r="F593" s="3" t="s">
        <v>150</v>
      </c>
      <c r="G593" s="31">
        <v>64</v>
      </c>
      <c r="H593" s="71"/>
      <c r="I593" s="32" t="s">
        <v>56</v>
      </c>
      <c r="J593" s="31">
        <f>G593*AO593</f>
        <v>0</v>
      </c>
      <c r="K593" s="31">
        <f>G593*AP593</f>
        <v>0</v>
      </c>
      <c r="L593" s="31">
        <f>G593*H593</f>
        <v>0</v>
      </c>
      <c r="M593" s="31">
        <f>L593*(1+BW593/100)</f>
        <v>0</v>
      </c>
      <c r="N593" s="31">
        <v>4.6999999999999999E-4</v>
      </c>
      <c r="O593" s="31">
        <f>G593*N593</f>
        <v>3.0079999999999999E-2</v>
      </c>
      <c r="P593" s="33" t="s">
        <v>57</v>
      </c>
      <c r="Z593" s="31">
        <f>IF(AQ593="5",BJ593,0)</f>
        <v>0</v>
      </c>
      <c r="AB593" s="31">
        <f>IF(AQ593="1",BH593,0)</f>
        <v>0</v>
      </c>
      <c r="AC593" s="31">
        <f>IF(AQ593="1",BI593,0)</f>
        <v>0</v>
      </c>
      <c r="AD593" s="31">
        <f>IF(AQ593="7",BH593,0)</f>
        <v>0</v>
      </c>
      <c r="AE593" s="31">
        <f>IF(AQ593="7",BI593,0)</f>
        <v>0</v>
      </c>
      <c r="AF593" s="31">
        <f>IF(AQ593="2",BH593,0)</f>
        <v>0</v>
      </c>
      <c r="AG593" s="31">
        <f>IF(AQ593="2",BI593,0)</f>
        <v>0</v>
      </c>
      <c r="AH593" s="31">
        <f>IF(AQ593="0",BJ593,0)</f>
        <v>0</v>
      </c>
      <c r="AI593" s="12" t="s">
        <v>49</v>
      </c>
      <c r="AJ593" s="31">
        <f>IF(AN593=0,L593,0)</f>
        <v>0</v>
      </c>
      <c r="AK593" s="31">
        <f>IF(AN593=12,L593,0)</f>
        <v>0</v>
      </c>
      <c r="AL593" s="31">
        <f>IF(AN593=21,L593,0)</f>
        <v>0</v>
      </c>
      <c r="AN593" s="31">
        <v>21</v>
      </c>
      <c r="AO593" s="31">
        <f>H593*0.091544129</f>
        <v>0</v>
      </c>
      <c r="AP593" s="31">
        <f>H593*(1-0.091544129)</f>
        <v>0</v>
      </c>
      <c r="AQ593" s="32" t="s">
        <v>63</v>
      </c>
      <c r="AV593" s="31">
        <f>AW593+AX593</f>
        <v>0</v>
      </c>
      <c r="AW593" s="31">
        <f>G593*AO593</f>
        <v>0</v>
      </c>
      <c r="AX593" s="31">
        <f>G593*AP593</f>
        <v>0</v>
      </c>
      <c r="AY593" s="32" t="s">
        <v>1179</v>
      </c>
      <c r="AZ593" s="32" t="s">
        <v>1003</v>
      </c>
      <c r="BA593" s="12" t="s">
        <v>60</v>
      </c>
      <c r="BC593" s="31">
        <f>AW593+AX593</f>
        <v>0</v>
      </c>
      <c r="BD593" s="31">
        <f>H593/(100-BE593)*100</f>
        <v>0</v>
      </c>
      <c r="BE593" s="31">
        <v>0</v>
      </c>
      <c r="BF593" s="31">
        <f>O593</f>
        <v>3.0079999999999999E-2</v>
      </c>
      <c r="BH593" s="31">
        <f>G593*AO593</f>
        <v>0</v>
      </c>
      <c r="BI593" s="31">
        <f>G593*AP593</f>
        <v>0</v>
      </c>
      <c r="BJ593" s="31">
        <f>G593*H593</f>
        <v>0</v>
      </c>
      <c r="BK593" s="31"/>
      <c r="BL593" s="31"/>
      <c r="BW593" s="31" t="str">
        <f>I593</f>
        <v>21</v>
      </c>
      <c r="BX593" s="4" t="s">
        <v>1237</v>
      </c>
    </row>
    <row r="594" spans="1:76" ht="14.35" x14ac:dyDescent="0.5">
      <c r="A594" s="34"/>
      <c r="D594" s="35" t="s">
        <v>1238</v>
      </c>
      <c r="E594" s="35" t="s">
        <v>1239</v>
      </c>
      <c r="G594" s="36">
        <v>64</v>
      </c>
      <c r="P594" s="37"/>
    </row>
    <row r="595" spans="1:76" ht="14.35" x14ac:dyDescent="0.5">
      <c r="A595" s="2" t="s">
        <v>1240</v>
      </c>
      <c r="B595" s="3" t="s">
        <v>49</v>
      </c>
      <c r="C595" s="3" t="s">
        <v>1241</v>
      </c>
      <c r="D595" s="72" t="s">
        <v>1242</v>
      </c>
      <c r="E595" s="73"/>
      <c r="F595" s="3" t="s">
        <v>179</v>
      </c>
      <c r="G595" s="31">
        <v>8</v>
      </c>
      <c r="H595" s="71"/>
      <c r="I595" s="32" t="s">
        <v>56</v>
      </c>
      <c r="J595" s="31">
        <f>G595*AO595</f>
        <v>0</v>
      </c>
      <c r="K595" s="31">
        <f>G595*AP595</f>
        <v>0</v>
      </c>
      <c r="L595" s="31">
        <f>G595*H595</f>
        <v>0</v>
      </c>
      <c r="M595" s="31">
        <f>L595*(1+BW595/100)</f>
        <v>0</v>
      </c>
      <c r="N595" s="31">
        <v>2.0000000000000001E-4</v>
      </c>
      <c r="O595" s="31">
        <f>G595*N595</f>
        <v>1.6000000000000001E-3</v>
      </c>
      <c r="P595" s="33" t="s">
        <v>57</v>
      </c>
      <c r="Z595" s="31">
        <f>IF(AQ595="5",BJ595,0)</f>
        <v>0</v>
      </c>
      <c r="AB595" s="31">
        <f>IF(AQ595="1",BH595,0)</f>
        <v>0</v>
      </c>
      <c r="AC595" s="31">
        <f>IF(AQ595="1",BI595,0)</f>
        <v>0</v>
      </c>
      <c r="AD595" s="31">
        <f>IF(AQ595="7",BH595,0)</f>
        <v>0</v>
      </c>
      <c r="AE595" s="31">
        <f>IF(AQ595="7",BI595,0)</f>
        <v>0</v>
      </c>
      <c r="AF595" s="31">
        <f>IF(AQ595="2",BH595,0)</f>
        <v>0</v>
      </c>
      <c r="AG595" s="31">
        <f>IF(AQ595="2",BI595,0)</f>
        <v>0</v>
      </c>
      <c r="AH595" s="31">
        <f>IF(AQ595="0",BJ595,0)</f>
        <v>0</v>
      </c>
      <c r="AI595" s="12" t="s">
        <v>49</v>
      </c>
      <c r="AJ595" s="31">
        <f>IF(AN595=0,L595,0)</f>
        <v>0</v>
      </c>
      <c r="AK595" s="31">
        <f>IF(AN595=12,L595,0)</f>
        <v>0</v>
      </c>
      <c r="AL595" s="31">
        <f>IF(AN595=21,L595,0)</f>
        <v>0</v>
      </c>
      <c r="AN595" s="31">
        <v>21</v>
      </c>
      <c r="AO595" s="31">
        <f>H595*0.29742224</f>
        <v>0</v>
      </c>
      <c r="AP595" s="31">
        <f>H595*(1-0.29742224)</f>
        <v>0</v>
      </c>
      <c r="AQ595" s="32" t="s">
        <v>63</v>
      </c>
      <c r="AV595" s="31">
        <f>AW595+AX595</f>
        <v>0</v>
      </c>
      <c r="AW595" s="31">
        <f>G595*AO595</f>
        <v>0</v>
      </c>
      <c r="AX595" s="31">
        <f>G595*AP595</f>
        <v>0</v>
      </c>
      <c r="AY595" s="32" t="s">
        <v>1179</v>
      </c>
      <c r="AZ595" s="32" t="s">
        <v>1003</v>
      </c>
      <c r="BA595" s="12" t="s">
        <v>60</v>
      </c>
      <c r="BC595" s="31">
        <f>AW595+AX595</f>
        <v>0</v>
      </c>
      <c r="BD595" s="31">
        <f>H595/(100-BE595)*100</f>
        <v>0</v>
      </c>
      <c r="BE595" s="31">
        <v>0</v>
      </c>
      <c r="BF595" s="31">
        <f>O595</f>
        <v>1.6000000000000001E-3</v>
      </c>
      <c r="BH595" s="31">
        <f>G595*AO595</f>
        <v>0</v>
      </c>
      <c r="BI595" s="31">
        <f>G595*AP595</f>
        <v>0</v>
      </c>
      <c r="BJ595" s="31">
        <f>G595*H595</f>
        <v>0</v>
      </c>
      <c r="BK595" s="31"/>
      <c r="BL595" s="31"/>
      <c r="BW595" s="31" t="str">
        <f>I595</f>
        <v>21</v>
      </c>
      <c r="BX595" s="4" t="s">
        <v>1242</v>
      </c>
    </row>
    <row r="596" spans="1:76" ht="14.35" x14ac:dyDescent="0.5">
      <c r="A596" s="34"/>
      <c r="D596" s="35" t="s">
        <v>95</v>
      </c>
      <c r="E596" s="35" t="s">
        <v>1243</v>
      </c>
      <c r="G596" s="36">
        <v>8</v>
      </c>
      <c r="P596" s="37"/>
    </row>
    <row r="597" spans="1:76" ht="14.35" x14ac:dyDescent="0.5">
      <c r="A597" s="2" t="s">
        <v>1244</v>
      </c>
      <c r="B597" s="3" t="s">
        <v>49</v>
      </c>
      <c r="C597" s="3" t="s">
        <v>1245</v>
      </c>
      <c r="D597" s="72" t="s">
        <v>1242</v>
      </c>
      <c r="E597" s="73"/>
      <c r="F597" s="3" t="s">
        <v>179</v>
      </c>
      <c r="G597" s="31">
        <v>8</v>
      </c>
      <c r="H597" s="71"/>
      <c r="I597" s="32" t="s">
        <v>56</v>
      </c>
      <c r="J597" s="31">
        <f>G597*AO597</f>
        <v>0</v>
      </c>
      <c r="K597" s="31">
        <f>G597*AP597</f>
        <v>0</v>
      </c>
      <c r="L597" s="31">
        <f>G597*H597</f>
        <v>0</v>
      </c>
      <c r="M597" s="31">
        <f>L597*(1+BW597/100)</f>
        <v>0</v>
      </c>
      <c r="N597" s="31">
        <v>2.7999999999999998E-4</v>
      </c>
      <c r="O597" s="31">
        <f>G597*N597</f>
        <v>2.2399999999999998E-3</v>
      </c>
      <c r="P597" s="33" t="s">
        <v>57</v>
      </c>
      <c r="Z597" s="31">
        <f>IF(AQ597="5",BJ597,0)</f>
        <v>0</v>
      </c>
      <c r="AB597" s="31">
        <f>IF(AQ597="1",BH597,0)</f>
        <v>0</v>
      </c>
      <c r="AC597" s="31">
        <f>IF(AQ597="1",BI597,0)</f>
        <v>0</v>
      </c>
      <c r="AD597" s="31">
        <f>IF(AQ597="7",BH597,0)</f>
        <v>0</v>
      </c>
      <c r="AE597" s="31">
        <f>IF(AQ597="7",BI597,0)</f>
        <v>0</v>
      </c>
      <c r="AF597" s="31">
        <f>IF(AQ597="2",BH597,0)</f>
        <v>0</v>
      </c>
      <c r="AG597" s="31">
        <f>IF(AQ597="2",BI597,0)</f>
        <v>0</v>
      </c>
      <c r="AH597" s="31">
        <f>IF(AQ597="0",BJ597,0)</f>
        <v>0</v>
      </c>
      <c r="AI597" s="12" t="s">
        <v>49</v>
      </c>
      <c r="AJ597" s="31">
        <f>IF(AN597=0,L597,0)</f>
        <v>0</v>
      </c>
      <c r="AK597" s="31">
        <f>IF(AN597=12,L597,0)</f>
        <v>0</v>
      </c>
      <c r="AL597" s="31">
        <f>IF(AN597=21,L597,0)</f>
        <v>0</v>
      </c>
      <c r="AN597" s="31">
        <v>21</v>
      </c>
      <c r="AO597" s="31">
        <f>H597*0.264459765</f>
        <v>0</v>
      </c>
      <c r="AP597" s="31">
        <f>H597*(1-0.264459765)</f>
        <v>0</v>
      </c>
      <c r="AQ597" s="32" t="s">
        <v>63</v>
      </c>
      <c r="AV597" s="31">
        <f>AW597+AX597</f>
        <v>0</v>
      </c>
      <c r="AW597" s="31">
        <f>G597*AO597</f>
        <v>0</v>
      </c>
      <c r="AX597" s="31">
        <f>G597*AP597</f>
        <v>0</v>
      </c>
      <c r="AY597" s="32" t="s">
        <v>1179</v>
      </c>
      <c r="AZ597" s="32" t="s">
        <v>1003</v>
      </c>
      <c r="BA597" s="12" t="s">
        <v>60</v>
      </c>
      <c r="BC597" s="31">
        <f>AW597+AX597</f>
        <v>0</v>
      </c>
      <c r="BD597" s="31">
        <f>H597/(100-BE597)*100</f>
        <v>0</v>
      </c>
      <c r="BE597" s="31">
        <v>0</v>
      </c>
      <c r="BF597" s="31">
        <f>O597</f>
        <v>2.2399999999999998E-3</v>
      </c>
      <c r="BH597" s="31">
        <f>G597*AO597</f>
        <v>0</v>
      </c>
      <c r="BI597" s="31">
        <f>G597*AP597</f>
        <v>0</v>
      </c>
      <c r="BJ597" s="31">
        <f>G597*H597</f>
        <v>0</v>
      </c>
      <c r="BK597" s="31"/>
      <c r="BL597" s="31"/>
      <c r="BW597" s="31" t="str">
        <f>I597</f>
        <v>21</v>
      </c>
      <c r="BX597" s="4" t="s">
        <v>1242</v>
      </c>
    </row>
    <row r="598" spans="1:76" ht="14.35" x14ac:dyDescent="0.5">
      <c r="A598" s="2" t="s">
        <v>1246</v>
      </c>
      <c r="B598" s="3" t="s">
        <v>49</v>
      </c>
      <c r="C598" s="3" t="s">
        <v>1247</v>
      </c>
      <c r="D598" s="72" t="s">
        <v>1248</v>
      </c>
      <c r="E598" s="73"/>
      <c r="F598" s="3" t="s">
        <v>179</v>
      </c>
      <c r="G598" s="31">
        <v>4</v>
      </c>
      <c r="H598" s="71"/>
      <c r="I598" s="32" t="s">
        <v>56</v>
      </c>
      <c r="J598" s="31">
        <f>G598*AO598</f>
        <v>0</v>
      </c>
      <c r="K598" s="31">
        <f>G598*AP598</f>
        <v>0</v>
      </c>
      <c r="L598" s="31">
        <f>G598*H598</f>
        <v>0</v>
      </c>
      <c r="M598" s="31">
        <f>L598*(1+BW598/100)</f>
        <v>0</v>
      </c>
      <c r="N598" s="31">
        <v>3.64E-3</v>
      </c>
      <c r="O598" s="31">
        <f>G598*N598</f>
        <v>1.456E-2</v>
      </c>
      <c r="P598" s="33" t="s">
        <v>57</v>
      </c>
      <c r="Z598" s="31">
        <f>IF(AQ598="5",BJ598,0)</f>
        <v>0</v>
      </c>
      <c r="AB598" s="31">
        <f>IF(AQ598="1",BH598,0)</f>
        <v>0</v>
      </c>
      <c r="AC598" s="31">
        <f>IF(AQ598="1",BI598,0)</f>
        <v>0</v>
      </c>
      <c r="AD598" s="31">
        <f>IF(AQ598="7",BH598,0)</f>
        <v>0</v>
      </c>
      <c r="AE598" s="31">
        <f>IF(AQ598="7",BI598,0)</f>
        <v>0</v>
      </c>
      <c r="AF598" s="31">
        <f>IF(AQ598="2",BH598,0)</f>
        <v>0</v>
      </c>
      <c r="AG598" s="31">
        <f>IF(AQ598="2",BI598,0)</f>
        <v>0</v>
      </c>
      <c r="AH598" s="31">
        <f>IF(AQ598="0",BJ598,0)</f>
        <v>0</v>
      </c>
      <c r="AI598" s="12" t="s">
        <v>49</v>
      </c>
      <c r="AJ598" s="31">
        <f>IF(AN598=0,L598,0)</f>
        <v>0</v>
      </c>
      <c r="AK598" s="31">
        <f>IF(AN598=12,L598,0)</f>
        <v>0</v>
      </c>
      <c r="AL598" s="31">
        <f>IF(AN598=21,L598,0)</f>
        <v>0</v>
      </c>
      <c r="AN598" s="31">
        <v>21</v>
      </c>
      <c r="AO598" s="31">
        <f>H598*0.450231788</f>
        <v>0</v>
      </c>
      <c r="AP598" s="31">
        <f>H598*(1-0.450231788)</f>
        <v>0</v>
      </c>
      <c r="AQ598" s="32" t="s">
        <v>63</v>
      </c>
      <c r="AV598" s="31">
        <f>AW598+AX598</f>
        <v>0</v>
      </c>
      <c r="AW598" s="31">
        <f>G598*AO598</f>
        <v>0</v>
      </c>
      <c r="AX598" s="31">
        <f>G598*AP598</f>
        <v>0</v>
      </c>
      <c r="AY598" s="32" t="s">
        <v>1179</v>
      </c>
      <c r="AZ598" s="32" t="s">
        <v>1003</v>
      </c>
      <c r="BA598" s="12" t="s">
        <v>60</v>
      </c>
      <c r="BC598" s="31">
        <f>AW598+AX598</f>
        <v>0</v>
      </c>
      <c r="BD598" s="31">
        <f>H598/(100-BE598)*100</f>
        <v>0</v>
      </c>
      <c r="BE598" s="31">
        <v>0</v>
      </c>
      <c r="BF598" s="31">
        <f>O598</f>
        <v>1.456E-2</v>
      </c>
      <c r="BH598" s="31">
        <f>G598*AO598</f>
        <v>0</v>
      </c>
      <c r="BI598" s="31">
        <f>G598*AP598</f>
        <v>0</v>
      </c>
      <c r="BJ598" s="31">
        <f>G598*H598</f>
        <v>0</v>
      </c>
      <c r="BK598" s="31"/>
      <c r="BL598" s="31"/>
      <c r="BW598" s="31" t="str">
        <f>I598</f>
        <v>21</v>
      </c>
      <c r="BX598" s="4" t="s">
        <v>1248</v>
      </c>
    </row>
    <row r="599" spans="1:76" ht="14.35" x14ac:dyDescent="0.5">
      <c r="A599" s="34"/>
      <c r="D599" s="35" t="s">
        <v>77</v>
      </c>
      <c r="E599" s="35" t="s">
        <v>1239</v>
      </c>
      <c r="G599" s="36">
        <v>4</v>
      </c>
      <c r="P599" s="37"/>
    </row>
    <row r="600" spans="1:76" ht="14.35" x14ac:dyDescent="0.5">
      <c r="A600" s="2" t="s">
        <v>1249</v>
      </c>
      <c r="B600" s="3" t="s">
        <v>49</v>
      </c>
      <c r="C600" s="3" t="s">
        <v>1250</v>
      </c>
      <c r="D600" s="72" t="s">
        <v>1251</v>
      </c>
      <c r="E600" s="73"/>
      <c r="F600" s="3" t="s">
        <v>179</v>
      </c>
      <c r="G600" s="31">
        <v>8</v>
      </c>
      <c r="H600" s="71"/>
      <c r="I600" s="32" t="s">
        <v>56</v>
      </c>
      <c r="J600" s="31">
        <f>G600*AO600</f>
        <v>0</v>
      </c>
      <c r="K600" s="31">
        <f>G600*AP600</f>
        <v>0</v>
      </c>
      <c r="L600" s="31">
        <f>G600*H600</f>
        <v>0</v>
      </c>
      <c r="M600" s="31">
        <f>L600*(1+BW600/100)</f>
        <v>0</v>
      </c>
      <c r="N600" s="31">
        <v>0</v>
      </c>
      <c r="O600" s="31">
        <f>G600*N600</f>
        <v>0</v>
      </c>
      <c r="P600" s="33" t="s">
        <v>57</v>
      </c>
      <c r="Z600" s="31">
        <f>IF(AQ600="5",BJ600,0)</f>
        <v>0</v>
      </c>
      <c r="AB600" s="31">
        <f>IF(AQ600="1",BH600,0)</f>
        <v>0</v>
      </c>
      <c r="AC600" s="31">
        <f>IF(AQ600="1",BI600,0)</f>
        <v>0</v>
      </c>
      <c r="AD600" s="31">
        <f>IF(AQ600="7",BH600,0)</f>
        <v>0</v>
      </c>
      <c r="AE600" s="31">
        <f>IF(AQ600="7",BI600,0)</f>
        <v>0</v>
      </c>
      <c r="AF600" s="31">
        <f>IF(AQ600="2",BH600,0)</f>
        <v>0</v>
      </c>
      <c r="AG600" s="31">
        <f>IF(AQ600="2",BI600,0)</f>
        <v>0</v>
      </c>
      <c r="AH600" s="31">
        <f>IF(AQ600="0",BJ600,0)</f>
        <v>0</v>
      </c>
      <c r="AI600" s="12" t="s">
        <v>49</v>
      </c>
      <c r="AJ600" s="31">
        <f>IF(AN600=0,L600,0)</f>
        <v>0</v>
      </c>
      <c r="AK600" s="31">
        <f>IF(AN600=12,L600,0)</f>
        <v>0</v>
      </c>
      <c r="AL600" s="31">
        <f>IF(AN600=21,L600,0)</f>
        <v>0</v>
      </c>
      <c r="AN600" s="31">
        <v>21</v>
      </c>
      <c r="AO600" s="31">
        <f>H600*0.06</f>
        <v>0</v>
      </c>
      <c r="AP600" s="31">
        <f>H600*(1-0.06)</f>
        <v>0</v>
      </c>
      <c r="AQ600" s="32" t="s">
        <v>63</v>
      </c>
      <c r="AV600" s="31">
        <f>AW600+AX600</f>
        <v>0</v>
      </c>
      <c r="AW600" s="31">
        <f>G600*AO600</f>
        <v>0</v>
      </c>
      <c r="AX600" s="31">
        <f>G600*AP600</f>
        <v>0</v>
      </c>
      <c r="AY600" s="32" t="s">
        <v>1179</v>
      </c>
      <c r="AZ600" s="32" t="s">
        <v>1003</v>
      </c>
      <c r="BA600" s="12" t="s">
        <v>60</v>
      </c>
      <c r="BC600" s="31">
        <f>AW600+AX600</f>
        <v>0</v>
      </c>
      <c r="BD600" s="31">
        <f>H600/(100-BE600)*100</f>
        <v>0</v>
      </c>
      <c r="BE600" s="31">
        <v>0</v>
      </c>
      <c r="BF600" s="31">
        <f>O600</f>
        <v>0</v>
      </c>
      <c r="BH600" s="31">
        <f>G600*AO600</f>
        <v>0</v>
      </c>
      <c r="BI600" s="31">
        <f>G600*AP600</f>
        <v>0</v>
      </c>
      <c r="BJ600" s="31">
        <f>G600*H600</f>
        <v>0</v>
      </c>
      <c r="BK600" s="31"/>
      <c r="BL600" s="31"/>
      <c r="BW600" s="31" t="str">
        <f>I600</f>
        <v>21</v>
      </c>
      <c r="BX600" s="4" t="s">
        <v>1251</v>
      </c>
    </row>
    <row r="601" spans="1:76" ht="14.35" x14ac:dyDescent="0.5">
      <c r="A601" s="34"/>
      <c r="D601" s="35" t="s">
        <v>95</v>
      </c>
      <c r="E601" s="35" t="s">
        <v>1252</v>
      </c>
      <c r="G601" s="36">
        <v>8</v>
      </c>
      <c r="P601" s="37"/>
    </row>
    <row r="602" spans="1:76" ht="14.35" x14ac:dyDescent="0.5">
      <c r="A602" s="38" t="s">
        <v>49</v>
      </c>
      <c r="B602" s="39" t="s">
        <v>49</v>
      </c>
      <c r="C602" s="39" t="s">
        <v>1253</v>
      </c>
      <c r="D602" s="126" t="s">
        <v>1254</v>
      </c>
      <c r="E602" s="127"/>
      <c r="F602" s="40" t="s">
        <v>3</v>
      </c>
      <c r="G602" s="40" t="s">
        <v>3</v>
      </c>
      <c r="H602" s="40" t="s">
        <v>3</v>
      </c>
      <c r="I602" s="40" t="s">
        <v>3</v>
      </c>
      <c r="J602" s="1">
        <f>SUM(J603:J615)</f>
        <v>0</v>
      </c>
      <c r="K602" s="1">
        <f>SUM(K603:K615)</f>
        <v>0</v>
      </c>
      <c r="L602" s="1">
        <f>SUM(L603:L615)</f>
        <v>0</v>
      </c>
      <c r="M602" s="1">
        <f>SUM(M603:M615)</f>
        <v>0</v>
      </c>
      <c r="N602" s="12" t="s">
        <v>49</v>
      </c>
      <c r="O602" s="1">
        <f>SUM(O603:O615)</f>
        <v>50.601999999999997</v>
      </c>
      <c r="P602" s="41" t="s">
        <v>49</v>
      </c>
      <c r="AI602" s="12" t="s">
        <v>49</v>
      </c>
      <c r="AS602" s="1">
        <f>SUM(AJ603:AJ615)</f>
        <v>0</v>
      </c>
      <c r="AT602" s="1">
        <f>SUM(AK603:AK615)</f>
        <v>0</v>
      </c>
      <c r="AU602" s="1">
        <f>SUM(AL603:AL615)</f>
        <v>0</v>
      </c>
    </row>
    <row r="603" spans="1:76" ht="14.35" x14ac:dyDescent="0.5">
      <c r="A603" s="2" t="s">
        <v>1255</v>
      </c>
      <c r="B603" s="3" t="s">
        <v>49</v>
      </c>
      <c r="C603" s="3" t="s">
        <v>1256</v>
      </c>
      <c r="D603" s="72" t="s">
        <v>1257</v>
      </c>
      <c r="E603" s="73"/>
      <c r="F603" s="3" t="s">
        <v>125</v>
      </c>
      <c r="G603" s="31">
        <v>50</v>
      </c>
      <c r="H603" s="71"/>
      <c r="I603" s="32" t="s">
        <v>56</v>
      </c>
      <c r="J603" s="31">
        <f>G603*AO603</f>
        <v>0</v>
      </c>
      <c r="K603" s="31">
        <f>G603*AP603</f>
        <v>0</v>
      </c>
      <c r="L603" s="31">
        <f>G603*H603</f>
        <v>0</v>
      </c>
      <c r="M603" s="31">
        <f>L603*(1+BW603/100)</f>
        <v>0</v>
      </c>
      <c r="N603" s="31">
        <v>0</v>
      </c>
      <c r="O603" s="31">
        <f>G603*N603</f>
        <v>0</v>
      </c>
      <c r="P603" s="33" t="s">
        <v>57</v>
      </c>
      <c r="Z603" s="31">
        <f>IF(AQ603="5",BJ603,0)</f>
        <v>0</v>
      </c>
      <c r="AB603" s="31">
        <f>IF(AQ603="1",BH603,0)</f>
        <v>0</v>
      </c>
      <c r="AC603" s="31">
        <f>IF(AQ603="1",BI603,0)</f>
        <v>0</v>
      </c>
      <c r="AD603" s="31">
        <f>IF(AQ603="7",BH603,0)</f>
        <v>0</v>
      </c>
      <c r="AE603" s="31">
        <f>IF(AQ603="7",BI603,0)</f>
        <v>0</v>
      </c>
      <c r="AF603" s="31">
        <f>IF(AQ603="2",BH603,0)</f>
        <v>0</v>
      </c>
      <c r="AG603" s="31">
        <f>IF(AQ603="2",BI603,0)</f>
        <v>0</v>
      </c>
      <c r="AH603" s="31">
        <f>IF(AQ603="0",BJ603,0)</f>
        <v>0</v>
      </c>
      <c r="AI603" s="12" t="s">
        <v>49</v>
      </c>
      <c r="AJ603" s="31">
        <f>IF(AN603=0,L603,0)</f>
        <v>0</v>
      </c>
      <c r="AK603" s="31">
        <f>IF(AN603=12,L603,0)</f>
        <v>0</v>
      </c>
      <c r="AL603" s="31">
        <f>IF(AN603=21,L603,0)</f>
        <v>0</v>
      </c>
      <c r="AN603" s="31">
        <v>21</v>
      </c>
      <c r="AO603" s="31">
        <f>H603*0</f>
        <v>0</v>
      </c>
      <c r="AP603" s="31">
        <f>H603*(1-0)</f>
        <v>0</v>
      </c>
      <c r="AQ603" s="32" t="s">
        <v>63</v>
      </c>
      <c r="AV603" s="31">
        <f>AW603+AX603</f>
        <v>0</v>
      </c>
      <c r="AW603" s="31">
        <f>G603*AO603</f>
        <v>0</v>
      </c>
      <c r="AX603" s="31">
        <f>G603*AP603</f>
        <v>0</v>
      </c>
      <c r="AY603" s="32" t="s">
        <v>1258</v>
      </c>
      <c r="AZ603" s="32" t="s">
        <v>1003</v>
      </c>
      <c r="BA603" s="12" t="s">
        <v>60</v>
      </c>
      <c r="BC603" s="31">
        <f>AW603+AX603</f>
        <v>0</v>
      </c>
      <c r="BD603" s="31">
        <f>H603/(100-BE603)*100</f>
        <v>0</v>
      </c>
      <c r="BE603" s="31">
        <v>0</v>
      </c>
      <c r="BF603" s="31">
        <f>O603</f>
        <v>0</v>
      </c>
      <c r="BH603" s="31">
        <f>G603*AO603</f>
        <v>0</v>
      </c>
      <c r="BI603" s="31">
        <f>G603*AP603</f>
        <v>0</v>
      </c>
      <c r="BJ603" s="31">
        <f>G603*H603</f>
        <v>0</v>
      </c>
      <c r="BK603" s="31"/>
      <c r="BL603" s="31"/>
      <c r="BW603" s="31" t="str">
        <f>I603</f>
        <v>21</v>
      </c>
      <c r="BX603" s="4" t="s">
        <v>1257</v>
      </c>
    </row>
    <row r="604" spans="1:76" ht="14.35" x14ac:dyDescent="0.5">
      <c r="A604" s="34"/>
      <c r="D604" s="35" t="s">
        <v>1259</v>
      </c>
      <c r="E604" s="35" t="s">
        <v>1260</v>
      </c>
      <c r="G604" s="36">
        <v>50</v>
      </c>
      <c r="P604" s="37"/>
    </row>
    <row r="605" spans="1:76" ht="14.35" x14ac:dyDescent="0.5">
      <c r="A605" s="2" t="s">
        <v>1261</v>
      </c>
      <c r="B605" s="3" t="s">
        <v>49</v>
      </c>
      <c r="C605" s="3" t="s">
        <v>1262</v>
      </c>
      <c r="D605" s="72" t="s">
        <v>1263</v>
      </c>
      <c r="E605" s="73"/>
      <c r="F605" s="3" t="s">
        <v>125</v>
      </c>
      <c r="G605" s="31">
        <v>50</v>
      </c>
      <c r="H605" s="71"/>
      <c r="I605" s="32" t="s">
        <v>56</v>
      </c>
      <c r="J605" s="31">
        <f>G605*AO605</f>
        <v>0</v>
      </c>
      <c r="K605" s="31">
        <f>G605*AP605</f>
        <v>0</v>
      </c>
      <c r="L605" s="31">
        <f>G605*H605</f>
        <v>0</v>
      </c>
      <c r="M605" s="31">
        <f>L605*(1+BW605/100)</f>
        <v>0</v>
      </c>
      <c r="N605" s="31">
        <v>0</v>
      </c>
      <c r="O605" s="31">
        <f>G605*N605</f>
        <v>0</v>
      </c>
      <c r="P605" s="33" t="s">
        <v>57</v>
      </c>
      <c r="Z605" s="31">
        <f>IF(AQ605="5",BJ605,0)</f>
        <v>0</v>
      </c>
      <c r="AB605" s="31">
        <f>IF(AQ605="1",BH605,0)</f>
        <v>0</v>
      </c>
      <c r="AC605" s="31">
        <f>IF(AQ605="1",BI605,0)</f>
        <v>0</v>
      </c>
      <c r="AD605" s="31">
        <f>IF(AQ605="7",BH605,0)</f>
        <v>0</v>
      </c>
      <c r="AE605" s="31">
        <f>IF(AQ605="7",BI605,0)</f>
        <v>0</v>
      </c>
      <c r="AF605" s="31">
        <f>IF(AQ605="2",BH605,0)</f>
        <v>0</v>
      </c>
      <c r="AG605" s="31">
        <f>IF(AQ605="2",BI605,0)</f>
        <v>0</v>
      </c>
      <c r="AH605" s="31">
        <f>IF(AQ605="0",BJ605,0)</f>
        <v>0</v>
      </c>
      <c r="AI605" s="12" t="s">
        <v>49</v>
      </c>
      <c r="AJ605" s="31">
        <f>IF(AN605=0,L605,0)</f>
        <v>0</v>
      </c>
      <c r="AK605" s="31">
        <f>IF(AN605=12,L605,0)</f>
        <v>0</v>
      </c>
      <c r="AL605" s="31">
        <f>IF(AN605=21,L605,0)</f>
        <v>0</v>
      </c>
      <c r="AN605" s="31">
        <v>21</v>
      </c>
      <c r="AO605" s="31">
        <f>H605*0</f>
        <v>0</v>
      </c>
      <c r="AP605" s="31">
        <f>H605*(1-0)</f>
        <v>0</v>
      </c>
      <c r="AQ605" s="32" t="s">
        <v>63</v>
      </c>
      <c r="AV605" s="31">
        <f>AW605+AX605</f>
        <v>0</v>
      </c>
      <c r="AW605" s="31">
        <f>G605*AO605</f>
        <v>0</v>
      </c>
      <c r="AX605" s="31">
        <f>G605*AP605</f>
        <v>0</v>
      </c>
      <c r="AY605" s="32" t="s">
        <v>1258</v>
      </c>
      <c r="AZ605" s="32" t="s">
        <v>1003</v>
      </c>
      <c r="BA605" s="12" t="s">
        <v>60</v>
      </c>
      <c r="BC605" s="31">
        <f>AW605+AX605</f>
        <v>0</v>
      </c>
      <c r="BD605" s="31">
        <f>H605/(100-BE605)*100</f>
        <v>0</v>
      </c>
      <c r="BE605" s="31">
        <v>0</v>
      </c>
      <c r="BF605" s="31">
        <f>O605</f>
        <v>0</v>
      </c>
      <c r="BH605" s="31">
        <f>G605*AO605</f>
        <v>0</v>
      </c>
      <c r="BI605" s="31">
        <f>G605*AP605</f>
        <v>0</v>
      </c>
      <c r="BJ605" s="31">
        <f>G605*H605</f>
        <v>0</v>
      </c>
      <c r="BK605" s="31"/>
      <c r="BL605" s="31"/>
      <c r="BW605" s="31" t="str">
        <f>I605</f>
        <v>21</v>
      </c>
      <c r="BX605" s="4" t="s">
        <v>1263</v>
      </c>
    </row>
    <row r="606" spans="1:76" ht="14.35" x14ac:dyDescent="0.5">
      <c r="A606" s="34"/>
      <c r="D606" s="35" t="s">
        <v>1264</v>
      </c>
      <c r="E606" s="35" t="s">
        <v>1265</v>
      </c>
      <c r="G606" s="36">
        <v>50</v>
      </c>
      <c r="P606" s="37"/>
    </row>
    <row r="607" spans="1:76" ht="14.35" x14ac:dyDescent="0.5">
      <c r="A607" s="2" t="s">
        <v>1266</v>
      </c>
      <c r="B607" s="3" t="s">
        <v>49</v>
      </c>
      <c r="C607" s="3" t="s">
        <v>1267</v>
      </c>
      <c r="D607" s="72" t="s">
        <v>1268</v>
      </c>
      <c r="E607" s="73"/>
      <c r="F607" s="3" t="s">
        <v>179</v>
      </c>
      <c r="G607" s="31">
        <v>10</v>
      </c>
      <c r="H607" s="71"/>
      <c r="I607" s="32" t="s">
        <v>56</v>
      </c>
      <c r="J607" s="31">
        <f>G607*AO607</f>
        <v>0</v>
      </c>
      <c r="K607" s="31">
        <f>G607*AP607</f>
        <v>0</v>
      </c>
      <c r="L607" s="31">
        <f>G607*H607</f>
        <v>0</v>
      </c>
      <c r="M607" s="31">
        <f>L607*(1+BW607/100)</f>
        <v>0</v>
      </c>
      <c r="N607" s="31">
        <v>0</v>
      </c>
      <c r="O607" s="31">
        <f>G607*N607</f>
        <v>0</v>
      </c>
      <c r="P607" s="33" t="s">
        <v>57</v>
      </c>
      <c r="Z607" s="31">
        <f>IF(AQ607="5",BJ607,0)</f>
        <v>0</v>
      </c>
      <c r="AB607" s="31">
        <f>IF(AQ607="1",BH607,0)</f>
        <v>0</v>
      </c>
      <c r="AC607" s="31">
        <f>IF(AQ607="1",BI607,0)</f>
        <v>0</v>
      </c>
      <c r="AD607" s="31">
        <f>IF(AQ607="7",BH607,0)</f>
        <v>0</v>
      </c>
      <c r="AE607" s="31">
        <f>IF(AQ607="7",BI607,0)</f>
        <v>0</v>
      </c>
      <c r="AF607" s="31">
        <f>IF(AQ607="2",BH607,0)</f>
        <v>0</v>
      </c>
      <c r="AG607" s="31">
        <f>IF(AQ607="2",BI607,0)</f>
        <v>0</v>
      </c>
      <c r="AH607" s="31">
        <f>IF(AQ607="0",BJ607,0)</f>
        <v>0</v>
      </c>
      <c r="AI607" s="12" t="s">
        <v>49</v>
      </c>
      <c r="AJ607" s="31">
        <f>IF(AN607=0,L607,0)</f>
        <v>0</v>
      </c>
      <c r="AK607" s="31">
        <f>IF(AN607=12,L607,0)</f>
        <v>0</v>
      </c>
      <c r="AL607" s="31">
        <f>IF(AN607=21,L607,0)</f>
        <v>0</v>
      </c>
      <c r="AN607" s="31">
        <v>21</v>
      </c>
      <c r="AO607" s="31">
        <f>H607*0</f>
        <v>0</v>
      </c>
      <c r="AP607" s="31">
        <f>H607*(1-0)</f>
        <v>0</v>
      </c>
      <c r="AQ607" s="32" t="s">
        <v>63</v>
      </c>
      <c r="AV607" s="31">
        <f>AW607+AX607</f>
        <v>0</v>
      </c>
      <c r="AW607" s="31">
        <f>G607*AO607</f>
        <v>0</v>
      </c>
      <c r="AX607" s="31">
        <f>G607*AP607</f>
        <v>0</v>
      </c>
      <c r="AY607" s="32" t="s">
        <v>1258</v>
      </c>
      <c r="AZ607" s="32" t="s">
        <v>1003</v>
      </c>
      <c r="BA607" s="12" t="s">
        <v>60</v>
      </c>
      <c r="BC607" s="31">
        <f>AW607+AX607</f>
        <v>0</v>
      </c>
      <c r="BD607" s="31">
        <f>H607/(100-BE607)*100</f>
        <v>0</v>
      </c>
      <c r="BE607" s="31">
        <v>0</v>
      </c>
      <c r="BF607" s="31">
        <f>O607</f>
        <v>0</v>
      </c>
      <c r="BH607" s="31">
        <f>G607*AO607</f>
        <v>0</v>
      </c>
      <c r="BI607" s="31">
        <f>G607*AP607</f>
        <v>0</v>
      </c>
      <c r="BJ607" s="31">
        <f>G607*H607</f>
        <v>0</v>
      </c>
      <c r="BK607" s="31"/>
      <c r="BL607" s="31"/>
      <c r="BW607" s="31" t="str">
        <f>I607</f>
        <v>21</v>
      </c>
      <c r="BX607" s="4" t="s">
        <v>1268</v>
      </c>
    </row>
    <row r="608" spans="1:76" ht="14.35" x14ac:dyDescent="0.5">
      <c r="A608" s="34"/>
      <c r="D608" s="35" t="s">
        <v>105</v>
      </c>
      <c r="E608" s="35" t="s">
        <v>1269</v>
      </c>
      <c r="G608" s="36">
        <v>10</v>
      </c>
      <c r="P608" s="37"/>
    </row>
    <row r="609" spans="1:76" ht="14.35" x14ac:dyDescent="0.5">
      <c r="A609" s="2" t="s">
        <v>1270</v>
      </c>
      <c r="B609" s="3" t="s">
        <v>49</v>
      </c>
      <c r="C609" s="3" t="s">
        <v>1271</v>
      </c>
      <c r="D609" s="72" t="s">
        <v>1272</v>
      </c>
      <c r="E609" s="73"/>
      <c r="F609" s="3" t="s">
        <v>179</v>
      </c>
      <c r="G609" s="31">
        <v>10</v>
      </c>
      <c r="H609" s="71"/>
      <c r="I609" s="32" t="s">
        <v>56</v>
      </c>
      <c r="J609" s="31">
        <f>G609*AO609</f>
        <v>0</v>
      </c>
      <c r="K609" s="31">
        <f>G609*AP609</f>
        <v>0</v>
      </c>
      <c r="L609" s="31">
        <f>G609*H609</f>
        <v>0</v>
      </c>
      <c r="M609" s="31">
        <f>L609*(1+BW609/100)</f>
        <v>0</v>
      </c>
      <c r="N609" s="31">
        <v>0</v>
      </c>
      <c r="O609" s="31">
        <f>G609*N609</f>
        <v>0</v>
      </c>
      <c r="P609" s="33" t="s">
        <v>57</v>
      </c>
      <c r="Z609" s="31">
        <f>IF(AQ609="5",BJ609,0)</f>
        <v>0</v>
      </c>
      <c r="AB609" s="31">
        <f>IF(AQ609="1",BH609,0)</f>
        <v>0</v>
      </c>
      <c r="AC609" s="31">
        <f>IF(AQ609="1",BI609,0)</f>
        <v>0</v>
      </c>
      <c r="AD609" s="31">
        <f>IF(AQ609="7",BH609,0)</f>
        <v>0</v>
      </c>
      <c r="AE609" s="31">
        <f>IF(AQ609="7",BI609,0)</f>
        <v>0</v>
      </c>
      <c r="AF609" s="31">
        <f>IF(AQ609="2",BH609,0)</f>
        <v>0</v>
      </c>
      <c r="AG609" s="31">
        <f>IF(AQ609="2",BI609,0)</f>
        <v>0</v>
      </c>
      <c r="AH609" s="31">
        <f>IF(AQ609="0",BJ609,0)</f>
        <v>0</v>
      </c>
      <c r="AI609" s="12" t="s">
        <v>49</v>
      </c>
      <c r="AJ609" s="31">
        <f>IF(AN609=0,L609,0)</f>
        <v>0</v>
      </c>
      <c r="AK609" s="31">
        <f>IF(AN609=12,L609,0)</f>
        <v>0</v>
      </c>
      <c r="AL609" s="31">
        <f>IF(AN609=21,L609,0)</f>
        <v>0</v>
      </c>
      <c r="AN609" s="31">
        <v>21</v>
      </c>
      <c r="AO609" s="31">
        <f>H609*0</f>
        <v>0</v>
      </c>
      <c r="AP609" s="31">
        <f>H609*(1-0)</f>
        <v>0</v>
      </c>
      <c r="AQ609" s="32" t="s">
        <v>63</v>
      </c>
      <c r="AV609" s="31">
        <f>AW609+AX609</f>
        <v>0</v>
      </c>
      <c r="AW609" s="31">
        <f>G609*AO609</f>
        <v>0</v>
      </c>
      <c r="AX609" s="31">
        <f>G609*AP609</f>
        <v>0</v>
      </c>
      <c r="AY609" s="32" t="s">
        <v>1258</v>
      </c>
      <c r="AZ609" s="32" t="s">
        <v>1003</v>
      </c>
      <c r="BA609" s="12" t="s">
        <v>60</v>
      </c>
      <c r="BC609" s="31">
        <f>AW609+AX609</f>
        <v>0</v>
      </c>
      <c r="BD609" s="31">
        <f>H609/(100-BE609)*100</f>
        <v>0</v>
      </c>
      <c r="BE609" s="31">
        <v>0</v>
      </c>
      <c r="BF609" s="31">
        <f>O609</f>
        <v>0</v>
      </c>
      <c r="BH609" s="31">
        <f>G609*AO609</f>
        <v>0</v>
      </c>
      <c r="BI609" s="31">
        <f>G609*AP609</f>
        <v>0</v>
      </c>
      <c r="BJ609" s="31">
        <f>G609*H609</f>
        <v>0</v>
      </c>
      <c r="BK609" s="31"/>
      <c r="BL609" s="31"/>
      <c r="BW609" s="31" t="str">
        <f>I609</f>
        <v>21</v>
      </c>
      <c r="BX609" s="4" t="s">
        <v>1272</v>
      </c>
    </row>
    <row r="610" spans="1:76" ht="14.35" x14ac:dyDescent="0.5">
      <c r="A610" s="2" t="s">
        <v>1273</v>
      </c>
      <c r="B610" s="3" t="s">
        <v>49</v>
      </c>
      <c r="C610" s="3" t="s">
        <v>1274</v>
      </c>
      <c r="D610" s="72" t="s">
        <v>1275</v>
      </c>
      <c r="E610" s="73"/>
      <c r="F610" s="3" t="s">
        <v>150</v>
      </c>
      <c r="G610" s="31">
        <v>100</v>
      </c>
      <c r="H610" s="71"/>
      <c r="I610" s="32" t="s">
        <v>56</v>
      </c>
      <c r="J610" s="31">
        <f>G610*AO610</f>
        <v>0</v>
      </c>
      <c r="K610" s="31">
        <f>G610*AP610</f>
        <v>0</v>
      </c>
      <c r="L610" s="31">
        <f>G610*H610</f>
        <v>0</v>
      </c>
      <c r="M610" s="31">
        <f>L610*(1+BW610/100)</f>
        <v>0</v>
      </c>
      <c r="N610" s="31">
        <v>0</v>
      </c>
      <c r="O610" s="31">
        <f>G610*N610</f>
        <v>0</v>
      </c>
      <c r="P610" s="33" t="s">
        <v>57</v>
      </c>
      <c r="Z610" s="31">
        <f>IF(AQ610="5",BJ610,0)</f>
        <v>0</v>
      </c>
      <c r="AB610" s="31">
        <f>IF(AQ610="1",BH610,0)</f>
        <v>0</v>
      </c>
      <c r="AC610" s="31">
        <f>IF(AQ610="1",BI610,0)</f>
        <v>0</v>
      </c>
      <c r="AD610" s="31">
        <f>IF(AQ610="7",BH610,0)</f>
        <v>0</v>
      </c>
      <c r="AE610" s="31">
        <f>IF(AQ610="7",BI610,0)</f>
        <v>0</v>
      </c>
      <c r="AF610" s="31">
        <f>IF(AQ610="2",BH610,0)</f>
        <v>0</v>
      </c>
      <c r="AG610" s="31">
        <f>IF(AQ610="2",BI610,0)</f>
        <v>0</v>
      </c>
      <c r="AH610" s="31">
        <f>IF(AQ610="0",BJ610,0)</f>
        <v>0</v>
      </c>
      <c r="AI610" s="12" t="s">
        <v>49</v>
      </c>
      <c r="AJ610" s="31">
        <f>IF(AN610=0,L610,0)</f>
        <v>0</v>
      </c>
      <c r="AK610" s="31">
        <f>IF(AN610=12,L610,0)</f>
        <v>0</v>
      </c>
      <c r="AL610" s="31">
        <f>IF(AN610=21,L610,0)</f>
        <v>0</v>
      </c>
      <c r="AN610" s="31">
        <v>21</v>
      </c>
      <c r="AO610" s="31">
        <f>H610*0</f>
        <v>0</v>
      </c>
      <c r="AP610" s="31">
        <f>H610*(1-0)</f>
        <v>0</v>
      </c>
      <c r="AQ610" s="32" t="s">
        <v>63</v>
      </c>
      <c r="AV610" s="31">
        <f>AW610+AX610</f>
        <v>0</v>
      </c>
      <c r="AW610" s="31">
        <f>G610*AO610</f>
        <v>0</v>
      </c>
      <c r="AX610" s="31">
        <f>G610*AP610</f>
        <v>0</v>
      </c>
      <c r="AY610" s="32" t="s">
        <v>1258</v>
      </c>
      <c r="AZ610" s="32" t="s">
        <v>1003</v>
      </c>
      <c r="BA610" s="12" t="s">
        <v>60</v>
      </c>
      <c r="BC610" s="31">
        <f>AW610+AX610</f>
        <v>0</v>
      </c>
      <c r="BD610" s="31">
        <f>H610/(100-BE610)*100</f>
        <v>0</v>
      </c>
      <c r="BE610" s="31">
        <v>0</v>
      </c>
      <c r="BF610" s="31">
        <f>O610</f>
        <v>0</v>
      </c>
      <c r="BH610" s="31">
        <f>G610*AO610</f>
        <v>0</v>
      </c>
      <c r="BI610" s="31">
        <f>G610*AP610</f>
        <v>0</v>
      </c>
      <c r="BJ610" s="31">
        <f>G610*H610</f>
        <v>0</v>
      </c>
      <c r="BK610" s="31"/>
      <c r="BL610" s="31"/>
      <c r="BW610" s="31" t="str">
        <f>I610</f>
        <v>21</v>
      </c>
      <c r="BX610" s="4" t="s">
        <v>1275</v>
      </c>
    </row>
    <row r="611" spans="1:76" ht="14.35" x14ac:dyDescent="0.5">
      <c r="A611" s="34"/>
      <c r="D611" s="35" t="s">
        <v>610</v>
      </c>
      <c r="E611" s="35" t="s">
        <v>1265</v>
      </c>
      <c r="G611" s="36">
        <v>100</v>
      </c>
      <c r="P611" s="37"/>
    </row>
    <row r="612" spans="1:76" ht="14.35" x14ac:dyDescent="0.5">
      <c r="A612" s="2" t="s">
        <v>1276</v>
      </c>
      <c r="B612" s="3" t="s">
        <v>49</v>
      </c>
      <c r="C612" s="3" t="s">
        <v>1277</v>
      </c>
      <c r="D612" s="72" t="s">
        <v>1278</v>
      </c>
      <c r="E612" s="73"/>
      <c r="F612" s="3" t="s">
        <v>179</v>
      </c>
      <c r="G612" s="31">
        <v>10</v>
      </c>
      <c r="H612" s="71"/>
      <c r="I612" s="32" t="s">
        <v>56</v>
      </c>
      <c r="J612" s="31">
        <f>G612*AO612</f>
        <v>0</v>
      </c>
      <c r="K612" s="31">
        <f>G612*AP612</f>
        <v>0</v>
      </c>
      <c r="L612" s="31">
        <f>G612*H612</f>
        <v>0</v>
      </c>
      <c r="M612" s="31">
        <f>L612*(1+BW612/100)</f>
        <v>0</v>
      </c>
      <c r="N612" s="31">
        <v>1E-4</v>
      </c>
      <c r="O612" s="31">
        <f>G612*N612</f>
        <v>1E-3</v>
      </c>
      <c r="P612" s="33" t="s">
        <v>57</v>
      </c>
      <c r="Z612" s="31">
        <f>IF(AQ612="5",BJ612,0)</f>
        <v>0</v>
      </c>
      <c r="AB612" s="31">
        <f>IF(AQ612="1",BH612,0)</f>
        <v>0</v>
      </c>
      <c r="AC612" s="31">
        <f>IF(AQ612="1",BI612,0)</f>
        <v>0</v>
      </c>
      <c r="AD612" s="31">
        <f>IF(AQ612="7",BH612,0)</f>
        <v>0</v>
      </c>
      <c r="AE612" s="31">
        <f>IF(AQ612="7",BI612,0)</f>
        <v>0</v>
      </c>
      <c r="AF612" s="31">
        <f>IF(AQ612="2",BH612,0)</f>
        <v>0</v>
      </c>
      <c r="AG612" s="31">
        <f>IF(AQ612="2",BI612,0)</f>
        <v>0</v>
      </c>
      <c r="AH612" s="31">
        <f>IF(AQ612="0",BJ612,0)</f>
        <v>0</v>
      </c>
      <c r="AI612" s="12" t="s">
        <v>49</v>
      </c>
      <c r="AJ612" s="31">
        <f>IF(AN612=0,L612,0)</f>
        <v>0</v>
      </c>
      <c r="AK612" s="31">
        <f>IF(AN612=12,L612,0)</f>
        <v>0</v>
      </c>
      <c r="AL612" s="31">
        <f>IF(AN612=21,L612,0)</f>
        <v>0</v>
      </c>
      <c r="AN612" s="31">
        <v>21</v>
      </c>
      <c r="AO612" s="31">
        <f>H612*0.076415059</f>
        <v>0</v>
      </c>
      <c r="AP612" s="31">
        <f>H612*(1-0.076415059)</f>
        <v>0</v>
      </c>
      <c r="AQ612" s="32" t="s">
        <v>63</v>
      </c>
      <c r="AV612" s="31">
        <f>AW612+AX612</f>
        <v>0</v>
      </c>
      <c r="AW612" s="31">
        <f>G612*AO612</f>
        <v>0</v>
      </c>
      <c r="AX612" s="31">
        <f>G612*AP612</f>
        <v>0</v>
      </c>
      <c r="AY612" s="32" t="s">
        <v>1258</v>
      </c>
      <c r="AZ612" s="32" t="s">
        <v>1003</v>
      </c>
      <c r="BA612" s="12" t="s">
        <v>60</v>
      </c>
      <c r="BC612" s="31">
        <f>AW612+AX612</f>
        <v>0</v>
      </c>
      <c r="BD612" s="31">
        <f>H612/(100-BE612)*100</f>
        <v>0</v>
      </c>
      <c r="BE612" s="31">
        <v>0</v>
      </c>
      <c r="BF612" s="31">
        <f>O612</f>
        <v>1E-3</v>
      </c>
      <c r="BH612" s="31">
        <f>G612*AO612</f>
        <v>0</v>
      </c>
      <c r="BI612" s="31">
        <f>G612*AP612</f>
        <v>0</v>
      </c>
      <c r="BJ612" s="31">
        <f>G612*H612</f>
        <v>0</v>
      </c>
      <c r="BK612" s="31"/>
      <c r="BL612" s="31"/>
      <c r="BW612" s="31" t="str">
        <f>I612</f>
        <v>21</v>
      </c>
      <c r="BX612" s="4" t="s">
        <v>1278</v>
      </c>
    </row>
    <row r="613" spans="1:76" ht="14.35" x14ac:dyDescent="0.5">
      <c r="A613" s="2" t="s">
        <v>1279</v>
      </c>
      <c r="B613" s="3" t="s">
        <v>49</v>
      </c>
      <c r="C613" s="3" t="s">
        <v>1280</v>
      </c>
      <c r="D613" s="72" t="s">
        <v>1281</v>
      </c>
      <c r="E613" s="73"/>
      <c r="F613" s="3" t="s">
        <v>150</v>
      </c>
      <c r="G613" s="31">
        <v>100</v>
      </c>
      <c r="H613" s="71"/>
      <c r="I613" s="32" t="s">
        <v>56</v>
      </c>
      <c r="J613" s="31">
        <f>G613*AO613</f>
        <v>0</v>
      </c>
      <c r="K613" s="31">
        <f>G613*AP613</f>
        <v>0</v>
      </c>
      <c r="L613" s="31">
        <f>G613*H613</f>
        <v>0</v>
      </c>
      <c r="M613" s="31">
        <f>L613*(1+BW613/100)</f>
        <v>0</v>
      </c>
      <c r="N613" s="31">
        <v>0</v>
      </c>
      <c r="O613" s="31">
        <f>G613*N613</f>
        <v>0</v>
      </c>
      <c r="P613" s="33" t="s">
        <v>57</v>
      </c>
      <c r="Z613" s="31">
        <f>IF(AQ613="5",BJ613,0)</f>
        <v>0</v>
      </c>
      <c r="AB613" s="31">
        <f>IF(AQ613="1",BH613,0)</f>
        <v>0</v>
      </c>
      <c r="AC613" s="31">
        <f>IF(AQ613="1",BI613,0)</f>
        <v>0</v>
      </c>
      <c r="AD613" s="31">
        <f>IF(AQ613="7",BH613,0)</f>
        <v>0</v>
      </c>
      <c r="AE613" s="31">
        <f>IF(AQ613="7",BI613,0)</f>
        <v>0</v>
      </c>
      <c r="AF613" s="31">
        <f>IF(AQ613="2",BH613,0)</f>
        <v>0</v>
      </c>
      <c r="AG613" s="31">
        <f>IF(AQ613="2",BI613,0)</f>
        <v>0</v>
      </c>
      <c r="AH613" s="31">
        <f>IF(AQ613="0",BJ613,0)</f>
        <v>0</v>
      </c>
      <c r="AI613" s="12" t="s">
        <v>49</v>
      </c>
      <c r="AJ613" s="31">
        <f>IF(AN613=0,L613,0)</f>
        <v>0</v>
      </c>
      <c r="AK613" s="31">
        <f>IF(AN613=12,L613,0)</f>
        <v>0</v>
      </c>
      <c r="AL613" s="31">
        <f>IF(AN613=21,L613,0)</f>
        <v>0</v>
      </c>
      <c r="AN613" s="31">
        <v>21</v>
      </c>
      <c r="AO613" s="31">
        <f>H613*0</f>
        <v>0</v>
      </c>
      <c r="AP613" s="31">
        <f>H613*(1-0)</f>
        <v>0</v>
      </c>
      <c r="AQ613" s="32" t="s">
        <v>63</v>
      </c>
      <c r="AV613" s="31">
        <f>AW613+AX613</f>
        <v>0</v>
      </c>
      <c r="AW613" s="31">
        <f>G613*AO613</f>
        <v>0</v>
      </c>
      <c r="AX613" s="31">
        <f>G613*AP613</f>
        <v>0</v>
      </c>
      <c r="AY613" s="32" t="s">
        <v>1258</v>
      </c>
      <c r="AZ613" s="32" t="s">
        <v>1003</v>
      </c>
      <c r="BA613" s="12" t="s">
        <v>60</v>
      </c>
      <c r="BC613" s="31">
        <f>AW613+AX613</f>
        <v>0</v>
      </c>
      <c r="BD613" s="31">
        <f>H613/(100-BE613)*100</f>
        <v>0</v>
      </c>
      <c r="BE613" s="31">
        <v>0</v>
      </c>
      <c r="BF613" s="31">
        <f>O613</f>
        <v>0</v>
      </c>
      <c r="BH613" s="31">
        <f>G613*AO613</f>
        <v>0</v>
      </c>
      <c r="BI613" s="31">
        <f>G613*AP613</f>
        <v>0</v>
      </c>
      <c r="BJ613" s="31">
        <f>G613*H613</f>
        <v>0</v>
      </c>
      <c r="BK613" s="31"/>
      <c r="BL613" s="31"/>
      <c r="BW613" s="31" t="str">
        <f>I613</f>
        <v>21</v>
      </c>
      <c r="BX613" s="4" t="s">
        <v>1281</v>
      </c>
    </row>
    <row r="614" spans="1:76" ht="14.35" x14ac:dyDescent="0.5">
      <c r="A614" s="2" t="s">
        <v>1282</v>
      </c>
      <c r="B614" s="3" t="s">
        <v>49</v>
      </c>
      <c r="C614" s="3" t="s">
        <v>1283</v>
      </c>
      <c r="D614" s="72" t="s">
        <v>1284</v>
      </c>
      <c r="E614" s="73"/>
      <c r="F614" s="3" t="s">
        <v>125</v>
      </c>
      <c r="G614" s="31">
        <v>100</v>
      </c>
      <c r="H614" s="71"/>
      <c r="I614" s="32" t="s">
        <v>56</v>
      </c>
      <c r="J614" s="31">
        <f>G614*AO614</f>
        <v>0</v>
      </c>
      <c r="K614" s="31">
        <f>G614*AP614</f>
        <v>0</v>
      </c>
      <c r="L614" s="31">
        <f>G614*H614</f>
        <v>0</v>
      </c>
      <c r="M614" s="31">
        <f>L614*(1+BW614/100)</f>
        <v>0</v>
      </c>
      <c r="N614" s="31">
        <v>0</v>
      </c>
      <c r="O614" s="31">
        <f>G614*N614</f>
        <v>0</v>
      </c>
      <c r="P614" s="33" t="s">
        <v>57</v>
      </c>
      <c r="Z614" s="31">
        <f>IF(AQ614="5",BJ614,0)</f>
        <v>0</v>
      </c>
      <c r="AB614" s="31">
        <f>IF(AQ614="1",BH614,0)</f>
        <v>0</v>
      </c>
      <c r="AC614" s="31">
        <f>IF(AQ614="1",BI614,0)</f>
        <v>0</v>
      </c>
      <c r="AD614" s="31">
        <f>IF(AQ614="7",BH614,0)</f>
        <v>0</v>
      </c>
      <c r="AE614" s="31">
        <f>IF(AQ614="7",BI614,0)</f>
        <v>0</v>
      </c>
      <c r="AF614" s="31">
        <f>IF(AQ614="2",BH614,0)</f>
        <v>0</v>
      </c>
      <c r="AG614" s="31">
        <f>IF(AQ614="2",BI614,0)</f>
        <v>0</v>
      </c>
      <c r="AH614" s="31">
        <f>IF(AQ614="0",BJ614,0)</f>
        <v>0</v>
      </c>
      <c r="AI614" s="12" t="s">
        <v>49</v>
      </c>
      <c r="AJ614" s="31">
        <f>IF(AN614=0,L614,0)</f>
        <v>0</v>
      </c>
      <c r="AK614" s="31">
        <f>IF(AN614=12,L614,0)</f>
        <v>0</v>
      </c>
      <c r="AL614" s="31">
        <f>IF(AN614=21,L614,0)</f>
        <v>0</v>
      </c>
      <c r="AN614" s="31">
        <v>21</v>
      </c>
      <c r="AO614" s="31">
        <f>H614*0.018734535</f>
        <v>0</v>
      </c>
      <c r="AP614" s="31">
        <f>H614*(1-0.018734535)</f>
        <v>0</v>
      </c>
      <c r="AQ614" s="32" t="s">
        <v>63</v>
      </c>
      <c r="AV614" s="31">
        <f>AW614+AX614</f>
        <v>0</v>
      </c>
      <c r="AW614" s="31">
        <f>G614*AO614</f>
        <v>0</v>
      </c>
      <c r="AX614" s="31">
        <f>G614*AP614</f>
        <v>0</v>
      </c>
      <c r="AY614" s="32" t="s">
        <v>1258</v>
      </c>
      <c r="AZ614" s="32" t="s">
        <v>1003</v>
      </c>
      <c r="BA614" s="12" t="s">
        <v>60</v>
      </c>
      <c r="BC614" s="31">
        <f>AW614+AX614</f>
        <v>0</v>
      </c>
      <c r="BD614" s="31">
        <f>H614/(100-BE614)*100</f>
        <v>0</v>
      </c>
      <c r="BE614" s="31">
        <v>0</v>
      </c>
      <c r="BF614" s="31">
        <f>O614</f>
        <v>0</v>
      </c>
      <c r="BH614" s="31">
        <f>G614*AO614</f>
        <v>0</v>
      </c>
      <c r="BI614" s="31">
        <f>G614*AP614</f>
        <v>0</v>
      </c>
      <c r="BJ614" s="31">
        <f>G614*H614</f>
        <v>0</v>
      </c>
      <c r="BK614" s="31"/>
      <c r="BL614" s="31"/>
      <c r="BW614" s="31" t="str">
        <f>I614</f>
        <v>21</v>
      </c>
      <c r="BX614" s="4" t="s">
        <v>1284</v>
      </c>
    </row>
    <row r="615" spans="1:76" ht="14.35" x14ac:dyDescent="0.5">
      <c r="A615" s="2" t="s">
        <v>1285</v>
      </c>
      <c r="B615" s="3" t="s">
        <v>49</v>
      </c>
      <c r="C615" s="3" t="s">
        <v>1286</v>
      </c>
      <c r="D615" s="72" t="s">
        <v>1287</v>
      </c>
      <c r="E615" s="73"/>
      <c r="F615" s="3" t="s">
        <v>125</v>
      </c>
      <c r="G615" s="31">
        <v>100</v>
      </c>
      <c r="H615" s="71"/>
      <c r="I615" s="32" t="s">
        <v>56</v>
      </c>
      <c r="J615" s="31">
        <f>G615*AO615</f>
        <v>0</v>
      </c>
      <c r="K615" s="31">
        <f>G615*AP615</f>
        <v>0</v>
      </c>
      <c r="L615" s="31">
        <f>G615*H615</f>
        <v>0</v>
      </c>
      <c r="M615" s="31">
        <f>L615*(1+BW615/100)</f>
        <v>0</v>
      </c>
      <c r="N615" s="31">
        <v>0.50600999999999996</v>
      </c>
      <c r="O615" s="31">
        <f>G615*N615</f>
        <v>50.600999999999999</v>
      </c>
      <c r="P615" s="33" t="s">
        <v>57</v>
      </c>
      <c r="Z615" s="31">
        <f>IF(AQ615="5",BJ615,0)</f>
        <v>0</v>
      </c>
      <c r="AB615" s="31">
        <f>IF(AQ615="1",BH615,0)</f>
        <v>0</v>
      </c>
      <c r="AC615" s="31">
        <f>IF(AQ615="1",BI615,0)</f>
        <v>0</v>
      </c>
      <c r="AD615" s="31">
        <f>IF(AQ615="7",BH615,0)</f>
        <v>0</v>
      </c>
      <c r="AE615" s="31">
        <f>IF(AQ615="7",BI615,0)</f>
        <v>0</v>
      </c>
      <c r="AF615" s="31">
        <f>IF(AQ615="2",BH615,0)</f>
        <v>0</v>
      </c>
      <c r="AG615" s="31">
        <f>IF(AQ615="2",BI615,0)</f>
        <v>0</v>
      </c>
      <c r="AH615" s="31">
        <f>IF(AQ615="0",BJ615,0)</f>
        <v>0</v>
      </c>
      <c r="AI615" s="12" t="s">
        <v>49</v>
      </c>
      <c r="AJ615" s="31">
        <f>IF(AN615=0,L615,0)</f>
        <v>0</v>
      </c>
      <c r="AK615" s="31">
        <f>IF(AN615=12,L615,0)</f>
        <v>0</v>
      </c>
      <c r="AL615" s="31">
        <f>IF(AN615=21,L615,0)</f>
        <v>0</v>
      </c>
      <c r="AN615" s="31">
        <v>21</v>
      </c>
      <c r="AO615" s="31">
        <f>H615*0.707339415</f>
        <v>0</v>
      </c>
      <c r="AP615" s="31">
        <f>H615*(1-0.707339415)</f>
        <v>0</v>
      </c>
      <c r="AQ615" s="32" t="s">
        <v>63</v>
      </c>
      <c r="AV615" s="31">
        <f>AW615+AX615</f>
        <v>0</v>
      </c>
      <c r="AW615" s="31">
        <f>G615*AO615</f>
        <v>0</v>
      </c>
      <c r="AX615" s="31">
        <f>G615*AP615</f>
        <v>0</v>
      </c>
      <c r="AY615" s="32" t="s">
        <v>1258</v>
      </c>
      <c r="AZ615" s="32" t="s">
        <v>1003</v>
      </c>
      <c r="BA615" s="12" t="s">
        <v>60</v>
      </c>
      <c r="BC615" s="31">
        <f>AW615+AX615</f>
        <v>0</v>
      </c>
      <c r="BD615" s="31">
        <f>H615/(100-BE615)*100</f>
        <v>0</v>
      </c>
      <c r="BE615" s="31">
        <v>0</v>
      </c>
      <c r="BF615" s="31">
        <f>O615</f>
        <v>50.600999999999999</v>
      </c>
      <c r="BH615" s="31">
        <f>G615*AO615</f>
        <v>0</v>
      </c>
      <c r="BI615" s="31">
        <f>G615*AP615</f>
        <v>0</v>
      </c>
      <c r="BJ615" s="31">
        <f>G615*H615</f>
        <v>0</v>
      </c>
      <c r="BK615" s="31"/>
      <c r="BL615" s="31"/>
      <c r="BW615" s="31" t="str">
        <f>I615</f>
        <v>21</v>
      </c>
      <c r="BX615" s="4" t="s">
        <v>1287</v>
      </c>
    </row>
    <row r="616" spans="1:76" ht="14.35" x14ac:dyDescent="0.5">
      <c r="A616" s="38" t="s">
        <v>49</v>
      </c>
      <c r="B616" s="39" t="s">
        <v>49</v>
      </c>
      <c r="C616" s="39" t="s">
        <v>1288</v>
      </c>
      <c r="D616" s="126" t="s">
        <v>1289</v>
      </c>
      <c r="E616" s="127"/>
      <c r="F616" s="40" t="s">
        <v>3</v>
      </c>
      <c r="G616" s="40" t="s">
        <v>3</v>
      </c>
      <c r="H616" s="40" t="s">
        <v>3</v>
      </c>
      <c r="I616" s="40" t="s">
        <v>3</v>
      </c>
      <c r="J616" s="1">
        <f>SUM(J617:J634)</f>
        <v>0</v>
      </c>
      <c r="K616" s="1">
        <f>SUM(K617:K634)</f>
        <v>-46401.190399999999</v>
      </c>
      <c r="L616" s="1">
        <f>SUM(L617:L634)</f>
        <v>-46401.190399999999</v>
      </c>
      <c r="M616" s="1">
        <f>SUM(M617:M634)</f>
        <v>-56145.440384000001</v>
      </c>
      <c r="N616" s="12" t="s">
        <v>49</v>
      </c>
      <c r="O616" s="1">
        <f>SUM(O617:O634)</f>
        <v>0</v>
      </c>
      <c r="P616" s="41" t="s">
        <v>49</v>
      </c>
      <c r="AI616" s="12" t="s">
        <v>49</v>
      </c>
      <c r="AS616" s="1">
        <f>SUM(AJ617:AJ634)</f>
        <v>0</v>
      </c>
      <c r="AT616" s="1">
        <f>SUM(AK617:AK634)</f>
        <v>0</v>
      </c>
      <c r="AU616" s="1">
        <f>SUM(AL617:AL634)</f>
        <v>-46401.190399999999</v>
      </c>
    </row>
    <row r="617" spans="1:76" ht="14.35" x14ac:dyDescent="0.5">
      <c r="A617" s="2" t="s">
        <v>1290</v>
      </c>
      <c r="B617" s="3" t="s">
        <v>49</v>
      </c>
      <c r="C617" s="3" t="s">
        <v>1291</v>
      </c>
      <c r="D617" s="72" t="s">
        <v>1292</v>
      </c>
      <c r="E617" s="73"/>
      <c r="F617" s="3" t="s">
        <v>290</v>
      </c>
      <c r="G617" s="31">
        <v>569.5</v>
      </c>
      <c r="H617" s="71"/>
      <c r="I617" s="32" t="s">
        <v>56</v>
      </c>
      <c r="J617" s="31">
        <f>G617*AO617</f>
        <v>0</v>
      </c>
      <c r="K617" s="31">
        <f>G617*AP617</f>
        <v>0</v>
      </c>
      <c r="L617" s="31">
        <f>G617*H617</f>
        <v>0</v>
      </c>
      <c r="M617" s="31">
        <f>L617*(1+BW617/100)</f>
        <v>0</v>
      </c>
      <c r="N617" s="31">
        <v>0</v>
      </c>
      <c r="O617" s="31">
        <f>G617*N617</f>
        <v>0</v>
      </c>
      <c r="P617" s="33" t="s">
        <v>57</v>
      </c>
      <c r="Z617" s="31">
        <f>IF(AQ617="5",BJ617,0)</f>
        <v>0</v>
      </c>
      <c r="AB617" s="31">
        <f>IF(AQ617="1",BH617,0)</f>
        <v>0</v>
      </c>
      <c r="AC617" s="31">
        <f>IF(AQ617="1",BI617,0)</f>
        <v>0</v>
      </c>
      <c r="AD617" s="31">
        <f>IF(AQ617="7",BH617,0)</f>
        <v>0</v>
      </c>
      <c r="AE617" s="31">
        <f>IF(AQ617="7",BI617,0)</f>
        <v>0</v>
      </c>
      <c r="AF617" s="31">
        <f>IF(AQ617="2",BH617,0)</f>
        <v>0</v>
      </c>
      <c r="AG617" s="31">
        <f>IF(AQ617="2",BI617,0)</f>
        <v>0</v>
      </c>
      <c r="AH617" s="31">
        <f>IF(AQ617="0",BJ617,0)</f>
        <v>0</v>
      </c>
      <c r="AI617" s="12" t="s">
        <v>49</v>
      </c>
      <c r="AJ617" s="31">
        <f>IF(AN617=0,L617,0)</f>
        <v>0</v>
      </c>
      <c r="AK617" s="31">
        <f>IF(AN617=12,L617,0)</f>
        <v>0</v>
      </c>
      <c r="AL617" s="31">
        <f>IF(AN617=21,L617,0)</f>
        <v>0</v>
      </c>
      <c r="AN617" s="31">
        <v>21</v>
      </c>
      <c r="AO617" s="31">
        <f>H617*0</f>
        <v>0</v>
      </c>
      <c r="AP617" s="31">
        <f>H617*(1-0)</f>
        <v>0</v>
      </c>
      <c r="AQ617" s="32" t="s">
        <v>81</v>
      </c>
      <c r="AV617" s="31">
        <f>AW617+AX617</f>
        <v>0</v>
      </c>
      <c r="AW617" s="31">
        <f>G617*AO617</f>
        <v>0</v>
      </c>
      <c r="AX617" s="31">
        <f>G617*AP617</f>
        <v>0</v>
      </c>
      <c r="AY617" s="32" t="s">
        <v>1293</v>
      </c>
      <c r="AZ617" s="32" t="s">
        <v>1003</v>
      </c>
      <c r="BA617" s="12" t="s">
        <v>60</v>
      </c>
      <c r="BC617" s="31">
        <f>AW617+AX617</f>
        <v>0</v>
      </c>
      <c r="BD617" s="31">
        <f>H617/(100-BE617)*100</f>
        <v>0</v>
      </c>
      <c r="BE617" s="31">
        <v>0</v>
      </c>
      <c r="BF617" s="31">
        <f>O617</f>
        <v>0</v>
      </c>
      <c r="BH617" s="31">
        <f>G617*AO617</f>
        <v>0</v>
      </c>
      <c r="BI617" s="31">
        <f>G617*AP617</f>
        <v>0</v>
      </c>
      <c r="BJ617" s="31">
        <f>G617*H617</f>
        <v>0</v>
      </c>
      <c r="BK617" s="31"/>
      <c r="BL617" s="31"/>
      <c r="BW617" s="31" t="str">
        <f>I617</f>
        <v>21</v>
      </c>
      <c r="BX617" s="4" t="s">
        <v>1292</v>
      </c>
    </row>
    <row r="618" spans="1:76" ht="14.35" x14ac:dyDescent="0.5">
      <c r="A618" s="2" t="s">
        <v>1294</v>
      </c>
      <c r="B618" s="3" t="s">
        <v>49</v>
      </c>
      <c r="C618" s="3" t="s">
        <v>1295</v>
      </c>
      <c r="D618" s="72" t="s">
        <v>1296</v>
      </c>
      <c r="E618" s="73"/>
      <c r="F618" s="3" t="s">
        <v>290</v>
      </c>
      <c r="G618" s="31">
        <v>317.08</v>
      </c>
      <c r="H618" s="71"/>
      <c r="I618" s="32" t="s">
        <v>56</v>
      </c>
      <c r="J618" s="31">
        <f>G618*AO618</f>
        <v>0</v>
      </c>
      <c r="K618" s="31">
        <f>G618*AP618</f>
        <v>0</v>
      </c>
      <c r="L618" s="31">
        <f>G618*H618</f>
        <v>0</v>
      </c>
      <c r="M618" s="31">
        <f>L618*(1+BW618/100)</f>
        <v>0</v>
      </c>
      <c r="N618" s="31">
        <v>0</v>
      </c>
      <c r="O618" s="31">
        <f>G618*N618</f>
        <v>0</v>
      </c>
      <c r="P618" s="33" t="s">
        <v>57</v>
      </c>
      <c r="Z618" s="31">
        <f>IF(AQ618="5",BJ618,0)</f>
        <v>0</v>
      </c>
      <c r="AB618" s="31">
        <f>IF(AQ618="1",BH618,0)</f>
        <v>0</v>
      </c>
      <c r="AC618" s="31">
        <f>IF(AQ618="1",BI618,0)</f>
        <v>0</v>
      </c>
      <c r="AD618" s="31">
        <f>IF(AQ618="7",BH618,0)</f>
        <v>0</v>
      </c>
      <c r="AE618" s="31">
        <f>IF(AQ618="7",BI618,0)</f>
        <v>0</v>
      </c>
      <c r="AF618" s="31">
        <f>IF(AQ618="2",BH618,0)</f>
        <v>0</v>
      </c>
      <c r="AG618" s="31">
        <f>IF(AQ618="2",BI618,0)</f>
        <v>0</v>
      </c>
      <c r="AH618" s="31">
        <f>IF(AQ618="0",BJ618,0)</f>
        <v>0</v>
      </c>
      <c r="AI618" s="12" t="s">
        <v>49</v>
      </c>
      <c r="AJ618" s="31">
        <f>IF(AN618=0,L618,0)</f>
        <v>0</v>
      </c>
      <c r="AK618" s="31">
        <f>IF(AN618=12,L618,0)</f>
        <v>0</v>
      </c>
      <c r="AL618" s="31">
        <f>IF(AN618=21,L618,0)</f>
        <v>0</v>
      </c>
      <c r="AN618" s="31">
        <v>21</v>
      </c>
      <c r="AO618" s="31">
        <f>H618*0</f>
        <v>0</v>
      </c>
      <c r="AP618" s="31">
        <f>H618*(1-0)</f>
        <v>0</v>
      </c>
      <c r="AQ618" s="32" t="s">
        <v>81</v>
      </c>
      <c r="AV618" s="31">
        <f>AW618+AX618</f>
        <v>0</v>
      </c>
      <c r="AW618" s="31">
        <f>G618*AO618</f>
        <v>0</v>
      </c>
      <c r="AX618" s="31">
        <f>G618*AP618</f>
        <v>0</v>
      </c>
      <c r="AY618" s="32" t="s">
        <v>1293</v>
      </c>
      <c r="AZ618" s="32" t="s">
        <v>1003</v>
      </c>
      <c r="BA618" s="12" t="s">
        <v>60</v>
      </c>
      <c r="BC618" s="31">
        <f>AW618+AX618</f>
        <v>0</v>
      </c>
      <c r="BD618" s="31">
        <f>H618/(100-BE618)*100</f>
        <v>0</v>
      </c>
      <c r="BE618" s="31">
        <v>0</v>
      </c>
      <c r="BF618" s="31">
        <f>O618</f>
        <v>0</v>
      </c>
      <c r="BH618" s="31">
        <f>G618*AO618</f>
        <v>0</v>
      </c>
      <c r="BI618" s="31">
        <f>G618*AP618</f>
        <v>0</v>
      </c>
      <c r="BJ618" s="31">
        <f>G618*H618</f>
        <v>0</v>
      </c>
      <c r="BK618" s="31"/>
      <c r="BL618" s="31"/>
      <c r="BW618" s="31" t="str">
        <f>I618</f>
        <v>21</v>
      </c>
      <c r="BX618" s="4" t="s">
        <v>1296</v>
      </c>
    </row>
    <row r="619" spans="1:76" ht="14.35" x14ac:dyDescent="0.5">
      <c r="A619" s="34"/>
      <c r="D619" s="35" t="s">
        <v>1297</v>
      </c>
      <c r="E619" s="35" t="s">
        <v>1298</v>
      </c>
      <c r="G619" s="36">
        <v>57.19</v>
      </c>
      <c r="P619" s="37"/>
    </row>
    <row r="620" spans="1:76" ht="14.35" x14ac:dyDescent="0.5">
      <c r="A620" s="34"/>
      <c r="D620" s="35" t="s">
        <v>1299</v>
      </c>
      <c r="E620" s="35" t="s">
        <v>1300</v>
      </c>
      <c r="G620" s="36">
        <v>107.88</v>
      </c>
      <c r="P620" s="37"/>
    </row>
    <row r="621" spans="1:76" ht="14.35" x14ac:dyDescent="0.5">
      <c r="A621" s="34"/>
      <c r="D621" s="35" t="s">
        <v>1301</v>
      </c>
      <c r="E621" s="35" t="s">
        <v>1302</v>
      </c>
      <c r="G621" s="36">
        <v>52.8</v>
      </c>
      <c r="P621" s="37"/>
    </row>
    <row r="622" spans="1:76" ht="14.35" x14ac:dyDescent="0.5">
      <c r="A622" s="34"/>
      <c r="D622" s="35" t="s">
        <v>1303</v>
      </c>
      <c r="E622" s="35" t="s">
        <v>1304</v>
      </c>
      <c r="G622" s="36">
        <v>0.95</v>
      </c>
      <c r="P622" s="37"/>
    </row>
    <row r="623" spans="1:76" ht="14.35" x14ac:dyDescent="0.5">
      <c r="A623" s="34"/>
      <c r="D623" s="35" t="s">
        <v>1305</v>
      </c>
      <c r="E623" s="35" t="s">
        <v>1306</v>
      </c>
      <c r="G623" s="36">
        <v>97.94</v>
      </c>
      <c r="P623" s="37"/>
    </row>
    <row r="624" spans="1:76" ht="14.35" x14ac:dyDescent="0.5">
      <c r="A624" s="34"/>
      <c r="D624" s="35" t="s">
        <v>1307</v>
      </c>
      <c r="E624" s="35" t="s">
        <v>1308</v>
      </c>
      <c r="G624" s="36">
        <v>0.32</v>
      </c>
      <c r="P624" s="37"/>
    </row>
    <row r="625" spans="1:76" ht="14.35" x14ac:dyDescent="0.5">
      <c r="A625" s="2" t="s">
        <v>1309</v>
      </c>
      <c r="B625" s="3" t="s">
        <v>49</v>
      </c>
      <c r="C625" s="3" t="s">
        <v>1310</v>
      </c>
      <c r="D625" s="72" t="s">
        <v>1311</v>
      </c>
      <c r="E625" s="73"/>
      <c r="F625" s="3" t="s">
        <v>290</v>
      </c>
      <c r="G625" s="31">
        <v>4439.12</v>
      </c>
      <c r="H625" s="71"/>
      <c r="I625" s="32" t="s">
        <v>56</v>
      </c>
      <c r="J625" s="31">
        <f>G625*AO625</f>
        <v>0</v>
      </c>
      <c r="K625" s="31">
        <f>G625*AP625</f>
        <v>0</v>
      </c>
      <c r="L625" s="31">
        <f>G625*H625</f>
        <v>0</v>
      </c>
      <c r="M625" s="31">
        <f>L625*(1+BW625/100)</f>
        <v>0</v>
      </c>
      <c r="N625" s="31">
        <v>0</v>
      </c>
      <c r="O625" s="31">
        <f>G625*N625</f>
        <v>0</v>
      </c>
      <c r="P625" s="33" t="s">
        <v>57</v>
      </c>
      <c r="Z625" s="31">
        <f>IF(AQ625="5",BJ625,0)</f>
        <v>0</v>
      </c>
      <c r="AB625" s="31">
        <f>IF(AQ625="1",BH625,0)</f>
        <v>0</v>
      </c>
      <c r="AC625" s="31">
        <f>IF(AQ625="1",BI625,0)</f>
        <v>0</v>
      </c>
      <c r="AD625" s="31">
        <f>IF(AQ625="7",BH625,0)</f>
        <v>0</v>
      </c>
      <c r="AE625" s="31">
        <f>IF(AQ625="7",BI625,0)</f>
        <v>0</v>
      </c>
      <c r="AF625" s="31">
        <f>IF(AQ625="2",BH625,0)</f>
        <v>0</v>
      </c>
      <c r="AG625" s="31">
        <f>IF(AQ625="2",BI625,0)</f>
        <v>0</v>
      </c>
      <c r="AH625" s="31">
        <f>IF(AQ625="0",BJ625,0)</f>
        <v>0</v>
      </c>
      <c r="AI625" s="12" t="s">
        <v>49</v>
      </c>
      <c r="AJ625" s="31">
        <f>IF(AN625=0,L625,0)</f>
        <v>0</v>
      </c>
      <c r="AK625" s="31">
        <f>IF(AN625=12,L625,0)</f>
        <v>0</v>
      </c>
      <c r="AL625" s="31">
        <f>IF(AN625=21,L625,0)</f>
        <v>0</v>
      </c>
      <c r="AN625" s="31">
        <v>21</v>
      </c>
      <c r="AO625" s="31">
        <f>H625*0</f>
        <v>0</v>
      </c>
      <c r="AP625" s="31">
        <f>H625*(1-0)</f>
        <v>0</v>
      </c>
      <c r="AQ625" s="32" t="s">
        <v>81</v>
      </c>
      <c r="AV625" s="31">
        <f>AW625+AX625</f>
        <v>0</v>
      </c>
      <c r="AW625" s="31">
        <f>G625*AO625</f>
        <v>0</v>
      </c>
      <c r="AX625" s="31">
        <f>G625*AP625</f>
        <v>0</v>
      </c>
      <c r="AY625" s="32" t="s">
        <v>1293</v>
      </c>
      <c r="AZ625" s="32" t="s">
        <v>1003</v>
      </c>
      <c r="BA625" s="12" t="s">
        <v>60</v>
      </c>
      <c r="BC625" s="31">
        <f>AW625+AX625</f>
        <v>0</v>
      </c>
      <c r="BD625" s="31">
        <f>H625/(100-BE625)*100</f>
        <v>0</v>
      </c>
      <c r="BE625" s="31">
        <v>0</v>
      </c>
      <c r="BF625" s="31">
        <f>O625</f>
        <v>0</v>
      </c>
      <c r="BH625" s="31">
        <f>G625*AO625</f>
        <v>0</v>
      </c>
      <c r="BI625" s="31">
        <f>G625*AP625</f>
        <v>0</v>
      </c>
      <c r="BJ625" s="31">
        <f>G625*H625</f>
        <v>0</v>
      </c>
      <c r="BK625" s="31"/>
      <c r="BL625" s="31"/>
      <c r="BW625" s="31" t="str">
        <f>I625</f>
        <v>21</v>
      </c>
      <c r="BX625" s="4" t="s">
        <v>1311</v>
      </c>
    </row>
    <row r="626" spans="1:76" ht="14.35" x14ac:dyDescent="0.5">
      <c r="A626" s="34"/>
      <c r="D626" s="35" t="s">
        <v>1312</v>
      </c>
      <c r="E626" s="35" t="s">
        <v>49</v>
      </c>
      <c r="G626" s="36">
        <v>4439.12</v>
      </c>
      <c r="P626" s="37"/>
    </row>
    <row r="627" spans="1:76" ht="14.35" x14ac:dyDescent="0.5">
      <c r="A627" s="2" t="s">
        <v>1313</v>
      </c>
      <c r="B627" s="3" t="s">
        <v>49</v>
      </c>
      <c r="C627" s="3" t="s">
        <v>1314</v>
      </c>
      <c r="D627" s="72" t="s">
        <v>1315</v>
      </c>
      <c r="E627" s="73"/>
      <c r="F627" s="3" t="s">
        <v>290</v>
      </c>
      <c r="G627" s="31">
        <v>569.5</v>
      </c>
      <c r="H627" s="71"/>
      <c r="I627" s="32" t="s">
        <v>56</v>
      </c>
      <c r="J627" s="31">
        <f>G627*AO627</f>
        <v>0</v>
      </c>
      <c r="K627" s="31">
        <f>G627*AP627</f>
        <v>0</v>
      </c>
      <c r="L627" s="31">
        <f>G627*H627</f>
        <v>0</v>
      </c>
      <c r="M627" s="31">
        <f>L627*(1+BW627/100)</f>
        <v>0</v>
      </c>
      <c r="N627" s="31">
        <v>0</v>
      </c>
      <c r="O627" s="31">
        <f>G627*N627</f>
        <v>0</v>
      </c>
      <c r="P627" s="33" t="s">
        <v>57</v>
      </c>
      <c r="Z627" s="31">
        <f>IF(AQ627="5",BJ627,0)</f>
        <v>0</v>
      </c>
      <c r="AB627" s="31">
        <f>IF(AQ627="1",BH627,0)</f>
        <v>0</v>
      </c>
      <c r="AC627" s="31">
        <f>IF(AQ627="1",BI627,0)</f>
        <v>0</v>
      </c>
      <c r="AD627" s="31">
        <f>IF(AQ627="7",BH627,0)</f>
        <v>0</v>
      </c>
      <c r="AE627" s="31">
        <f>IF(AQ627="7",BI627,0)</f>
        <v>0</v>
      </c>
      <c r="AF627" s="31">
        <f>IF(AQ627="2",BH627,0)</f>
        <v>0</v>
      </c>
      <c r="AG627" s="31">
        <f>IF(AQ627="2",BI627,0)</f>
        <v>0</v>
      </c>
      <c r="AH627" s="31">
        <f>IF(AQ627="0",BJ627,0)</f>
        <v>0</v>
      </c>
      <c r="AI627" s="12" t="s">
        <v>49</v>
      </c>
      <c r="AJ627" s="31">
        <f>IF(AN627=0,L627,0)</f>
        <v>0</v>
      </c>
      <c r="AK627" s="31">
        <f>IF(AN627=12,L627,0)</f>
        <v>0</v>
      </c>
      <c r="AL627" s="31">
        <f>IF(AN627=21,L627,0)</f>
        <v>0</v>
      </c>
      <c r="AN627" s="31">
        <v>21</v>
      </c>
      <c r="AO627" s="31">
        <f>H627*0</f>
        <v>0</v>
      </c>
      <c r="AP627" s="31">
        <f>H627*(1-0)</f>
        <v>0</v>
      </c>
      <c r="AQ627" s="32" t="s">
        <v>81</v>
      </c>
      <c r="AV627" s="31">
        <f>AW627+AX627</f>
        <v>0</v>
      </c>
      <c r="AW627" s="31">
        <f>G627*AO627</f>
        <v>0</v>
      </c>
      <c r="AX627" s="31">
        <f>G627*AP627</f>
        <v>0</v>
      </c>
      <c r="AY627" s="32" t="s">
        <v>1293</v>
      </c>
      <c r="AZ627" s="32" t="s">
        <v>1003</v>
      </c>
      <c r="BA627" s="12" t="s">
        <v>60</v>
      </c>
      <c r="BC627" s="31">
        <f>AW627+AX627</f>
        <v>0</v>
      </c>
      <c r="BD627" s="31">
        <f>H627/(100-BE627)*100</f>
        <v>0</v>
      </c>
      <c r="BE627" s="31">
        <v>0</v>
      </c>
      <c r="BF627" s="31">
        <f>O627</f>
        <v>0</v>
      </c>
      <c r="BH627" s="31">
        <f>G627*AO627</f>
        <v>0</v>
      </c>
      <c r="BI627" s="31">
        <f>G627*AP627</f>
        <v>0</v>
      </c>
      <c r="BJ627" s="31">
        <f>G627*H627</f>
        <v>0</v>
      </c>
      <c r="BK627" s="31"/>
      <c r="BL627" s="31"/>
      <c r="BW627" s="31" t="str">
        <f>I627</f>
        <v>21</v>
      </c>
      <c r="BX627" s="4" t="s">
        <v>1315</v>
      </c>
    </row>
    <row r="628" spans="1:76" ht="14.35" x14ac:dyDescent="0.5">
      <c r="A628" s="34"/>
      <c r="D628" s="35" t="s">
        <v>1316</v>
      </c>
      <c r="E628" s="35" t="s">
        <v>1317</v>
      </c>
      <c r="G628" s="36">
        <v>569.5</v>
      </c>
      <c r="P628" s="37"/>
    </row>
    <row r="629" spans="1:76" ht="14.35" x14ac:dyDescent="0.5">
      <c r="A629" s="2" t="s">
        <v>1318</v>
      </c>
      <c r="B629" s="3" t="s">
        <v>49</v>
      </c>
      <c r="C629" s="3" t="s">
        <v>1319</v>
      </c>
      <c r="D629" s="72" t="s">
        <v>1320</v>
      </c>
      <c r="E629" s="73"/>
      <c r="F629" s="3" t="s">
        <v>290</v>
      </c>
      <c r="G629" s="31">
        <v>3417</v>
      </c>
      <c r="H629" s="71"/>
      <c r="I629" s="32" t="s">
        <v>56</v>
      </c>
      <c r="J629" s="31">
        <f>G629*AO629</f>
        <v>0</v>
      </c>
      <c r="K629" s="31">
        <f>G629*AP629</f>
        <v>0</v>
      </c>
      <c r="L629" s="31">
        <f>G629*H629</f>
        <v>0</v>
      </c>
      <c r="M629" s="31">
        <f>L629*(1+BW629/100)</f>
        <v>0</v>
      </c>
      <c r="N629" s="31">
        <v>0</v>
      </c>
      <c r="O629" s="31">
        <f>G629*N629</f>
        <v>0</v>
      </c>
      <c r="P629" s="33" t="s">
        <v>57</v>
      </c>
      <c r="Z629" s="31">
        <f>IF(AQ629="5",BJ629,0)</f>
        <v>0</v>
      </c>
      <c r="AB629" s="31">
        <f>IF(AQ629="1",BH629,0)</f>
        <v>0</v>
      </c>
      <c r="AC629" s="31">
        <f>IF(AQ629="1",BI629,0)</f>
        <v>0</v>
      </c>
      <c r="AD629" s="31">
        <f>IF(AQ629="7",BH629,0)</f>
        <v>0</v>
      </c>
      <c r="AE629" s="31">
        <f>IF(AQ629="7",BI629,0)</f>
        <v>0</v>
      </c>
      <c r="AF629" s="31">
        <f>IF(AQ629="2",BH629,0)</f>
        <v>0</v>
      </c>
      <c r="AG629" s="31">
        <f>IF(AQ629="2",BI629,0)</f>
        <v>0</v>
      </c>
      <c r="AH629" s="31">
        <f>IF(AQ629="0",BJ629,0)</f>
        <v>0</v>
      </c>
      <c r="AI629" s="12" t="s">
        <v>49</v>
      </c>
      <c r="AJ629" s="31">
        <f>IF(AN629=0,L629,0)</f>
        <v>0</v>
      </c>
      <c r="AK629" s="31">
        <f>IF(AN629=12,L629,0)</f>
        <v>0</v>
      </c>
      <c r="AL629" s="31">
        <f>IF(AN629=21,L629,0)</f>
        <v>0</v>
      </c>
      <c r="AN629" s="31">
        <v>21</v>
      </c>
      <c r="AO629" s="31">
        <f>H629*0</f>
        <v>0</v>
      </c>
      <c r="AP629" s="31">
        <f>H629*(1-0)</f>
        <v>0</v>
      </c>
      <c r="AQ629" s="32" t="s">
        <v>81</v>
      </c>
      <c r="AV629" s="31">
        <f>AW629+AX629</f>
        <v>0</v>
      </c>
      <c r="AW629" s="31">
        <f>G629*AO629</f>
        <v>0</v>
      </c>
      <c r="AX629" s="31">
        <f>G629*AP629</f>
        <v>0</v>
      </c>
      <c r="AY629" s="32" t="s">
        <v>1293</v>
      </c>
      <c r="AZ629" s="32" t="s">
        <v>1003</v>
      </c>
      <c r="BA629" s="12" t="s">
        <v>60</v>
      </c>
      <c r="BC629" s="31">
        <f>AW629+AX629</f>
        <v>0</v>
      </c>
      <c r="BD629" s="31">
        <f>H629/(100-BE629)*100</f>
        <v>0</v>
      </c>
      <c r="BE629" s="31">
        <v>0</v>
      </c>
      <c r="BF629" s="31">
        <f>O629</f>
        <v>0</v>
      </c>
      <c r="BH629" s="31">
        <f>G629*AO629</f>
        <v>0</v>
      </c>
      <c r="BI629" s="31">
        <f>G629*AP629</f>
        <v>0</v>
      </c>
      <c r="BJ629" s="31">
        <f>G629*H629</f>
        <v>0</v>
      </c>
      <c r="BK629" s="31"/>
      <c r="BL629" s="31"/>
      <c r="BW629" s="31" t="str">
        <f>I629</f>
        <v>21</v>
      </c>
      <c r="BX629" s="4" t="s">
        <v>1320</v>
      </c>
    </row>
    <row r="630" spans="1:76" ht="14.35" x14ac:dyDescent="0.5">
      <c r="A630" s="34"/>
      <c r="D630" s="35" t="s">
        <v>1321</v>
      </c>
      <c r="E630" s="35" t="s">
        <v>49</v>
      </c>
      <c r="G630" s="36">
        <v>3417</v>
      </c>
      <c r="P630" s="37"/>
    </row>
    <row r="631" spans="1:76" ht="14.35" x14ac:dyDescent="0.5">
      <c r="A631" s="2" t="s">
        <v>1322</v>
      </c>
      <c r="B631" s="3" t="s">
        <v>49</v>
      </c>
      <c r="C631" s="3" t="s">
        <v>1323</v>
      </c>
      <c r="D631" s="72" t="s">
        <v>1324</v>
      </c>
      <c r="E631" s="73"/>
      <c r="F631" s="3" t="s">
        <v>290</v>
      </c>
      <c r="G631" s="31">
        <v>218.82</v>
      </c>
      <c r="H631" s="71"/>
      <c r="I631" s="32" t="s">
        <v>56</v>
      </c>
      <c r="J631" s="31">
        <f>G631*AO631</f>
        <v>0</v>
      </c>
      <c r="K631" s="31">
        <f>G631*AP631</f>
        <v>0</v>
      </c>
      <c r="L631" s="31">
        <f>G631*H631</f>
        <v>0</v>
      </c>
      <c r="M631" s="31">
        <f>L631*(1+BW631/100)</f>
        <v>0</v>
      </c>
      <c r="N631" s="31">
        <v>0</v>
      </c>
      <c r="O631" s="31">
        <f>G631*N631</f>
        <v>0</v>
      </c>
      <c r="P631" s="33" t="s">
        <v>395</v>
      </c>
      <c r="Z631" s="31">
        <f>IF(AQ631="5",BJ631,0)</f>
        <v>0</v>
      </c>
      <c r="AB631" s="31">
        <f>IF(AQ631="1",BH631,0)</f>
        <v>0</v>
      </c>
      <c r="AC631" s="31">
        <f>IF(AQ631="1",BI631,0)</f>
        <v>0</v>
      </c>
      <c r="AD631" s="31">
        <f>IF(AQ631="7",BH631,0)</f>
        <v>0</v>
      </c>
      <c r="AE631" s="31">
        <f>IF(AQ631="7",BI631,0)</f>
        <v>0</v>
      </c>
      <c r="AF631" s="31">
        <f>IF(AQ631="2",BH631,0)</f>
        <v>0</v>
      </c>
      <c r="AG631" s="31">
        <f>IF(AQ631="2",BI631,0)</f>
        <v>0</v>
      </c>
      <c r="AH631" s="31">
        <f>IF(AQ631="0",BJ631,0)</f>
        <v>0</v>
      </c>
      <c r="AI631" s="12" t="s">
        <v>49</v>
      </c>
      <c r="AJ631" s="31">
        <f>IF(AN631=0,L631,0)</f>
        <v>0</v>
      </c>
      <c r="AK631" s="31">
        <f>IF(AN631=12,L631,0)</f>
        <v>0</v>
      </c>
      <c r="AL631" s="31">
        <f>IF(AN631=21,L631,0)</f>
        <v>0</v>
      </c>
      <c r="AN631" s="31">
        <v>21</v>
      </c>
      <c r="AO631" s="31">
        <f>H631*0</f>
        <v>0</v>
      </c>
      <c r="AP631" s="31">
        <f>H631*(1-0)</f>
        <v>0</v>
      </c>
      <c r="AQ631" s="32" t="s">
        <v>81</v>
      </c>
      <c r="AV631" s="31">
        <f>AW631+AX631</f>
        <v>0</v>
      </c>
      <c r="AW631" s="31">
        <f>G631*AO631</f>
        <v>0</v>
      </c>
      <c r="AX631" s="31">
        <f>G631*AP631</f>
        <v>0</v>
      </c>
      <c r="AY631" s="32" t="s">
        <v>1293</v>
      </c>
      <c r="AZ631" s="32" t="s">
        <v>1003</v>
      </c>
      <c r="BA631" s="12" t="s">
        <v>60</v>
      </c>
      <c r="BC631" s="31">
        <f>AW631+AX631</f>
        <v>0</v>
      </c>
      <c r="BD631" s="31">
        <f>H631/(100-BE631)*100</f>
        <v>0</v>
      </c>
      <c r="BE631" s="31">
        <v>0</v>
      </c>
      <c r="BF631" s="31">
        <f>O631</f>
        <v>0</v>
      </c>
      <c r="BH631" s="31">
        <f>G631*AO631</f>
        <v>0</v>
      </c>
      <c r="BI631" s="31">
        <f>G631*AP631</f>
        <v>0</v>
      </c>
      <c r="BJ631" s="31">
        <f>G631*H631</f>
        <v>0</v>
      </c>
      <c r="BK631" s="31"/>
      <c r="BL631" s="31"/>
      <c r="BW631" s="31" t="str">
        <f>I631</f>
        <v>21</v>
      </c>
      <c r="BX631" s="4" t="s">
        <v>1324</v>
      </c>
    </row>
    <row r="632" spans="1:76" ht="14.35" x14ac:dyDescent="0.5">
      <c r="A632" s="34"/>
      <c r="D632" s="35" t="s">
        <v>1325</v>
      </c>
      <c r="E632" s="35" t="s">
        <v>1326</v>
      </c>
      <c r="G632" s="36">
        <v>218.82</v>
      </c>
      <c r="P632" s="37"/>
    </row>
    <row r="633" spans="1:76" ht="14.35" x14ac:dyDescent="0.5">
      <c r="A633" s="2" t="s">
        <v>1327</v>
      </c>
      <c r="B633" s="3" t="s">
        <v>49</v>
      </c>
      <c r="C633" s="3" t="s">
        <v>1328</v>
      </c>
      <c r="D633" s="72" t="s">
        <v>1329</v>
      </c>
      <c r="E633" s="73"/>
      <c r="F633" s="3" t="s">
        <v>290</v>
      </c>
      <c r="G633" s="31">
        <v>97.94</v>
      </c>
      <c r="H633" s="71"/>
      <c r="I633" s="32" t="s">
        <v>56</v>
      </c>
      <c r="J633" s="31">
        <f>G633*AO633</f>
        <v>0</v>
      </c>
      <c r="K633" s="31">
        <f>G633*AP633</f>
        <v>0</v>
      </c>
      <c r="L633" s="31">
        <f>G633*H633</f>
        <v>0</v>
      </c>
      <c r="M633" s="31">
        <f>L633*(1+BW633/100)</f>
        <v>0</v>
      </c>
      <c r="N633" s="31">
        <v>0</v>
      </c>
      <c r="O633" s="31">
        <f>G633*N633</f>
        <v>0</v>
      </c>
      <c r="P633" s="33" t="s">
        <v>57</v>
      </c>
      <c r="Z633" s="31">
        <f>IF(AQ633="5",BJ633,0)</f>
        <v>0</v>
      </c>
      <c r="AB633" s="31">
        <f>IF(AQ633="1",BH633,0)</f>
        <v>0</v>
      </c>
      <c r="AC633" s="31">
        <f>IF(AQ633="1",BI633,0)</f>
        <v>0</v>
      </c>
      <c r="AD633" s="31">
        <f>IF(AQ633="7",BH633,0)</f>
        <v>0</v>
      </c>
      <c r="AE633" s="31">
        <f>IF(AQ633="7",BI633,0)</f>
        <v>0</v>
      </c>
      <c r="AF633" s="31">
        <f>IF(AQ633="2",BH633,0)</f>
        <v>0</v>
      </c>
      <c r="AG633" s="31">
        <f>IF(AQ633="2",BI633,0)</f>
        <v>0</v>
      </c>
      <c r="AH633" s="31">
        <f>IF(AQ633="0",BJ633,0)</f>
        <v>0</v>
      </c>
      <c r="AI633" s="12" t="s">
        <v>49</v>
      </c>
      <c r="AJ633" s="31">
        <f>IF(AN633=0,L633,0)</f>
        <v>0</v>
      </c>
      <c r="AK633" s="31">
        <f>IF(AN633=12,L633,0)</f>
        <v>0</v>
      </c>
      <c r="AL633" s="31">
        <f>IF(AN633=21,L633,0)</f>
        <v>0</v>
      </c>
      <c r="AN633" s="31">
        <v>21</v>
      </c>
      <c r="AO633" s="31">
        <f>H633*0</f>
        <v>0</v>
      </c>
      <c r="AP633" s="31">
        <f>H633*(1-0)</f>
        <v>0</v>
      </c>
      <c r="AQ633" s="32" t="s">
        <v>81</v>
      </c>
      <c r="AV633" s="31">
        <f>AW633+AX633</f>
        <v>0</v>
      </c>
      <c r="AW633" s="31">
        <f>G633*AO633</f>
        <v>0</v>
      </c>
      <c r="AX633" s="31">
        <f>G633*AP633</f>
        <v>0</v>
      </c>
      <c r="AY633" s="32" t="s">
        <v>1293</v>
      </c>
      <c r="AZ633" s="32" t="s">
        <v>1003</v>
      </c>
      <c r="BA633" s="12" t="s">
        <v>60</v>
      </c>
      <c r="BC633" s="31">
        <f>AW633+AX633</f>
        <v>0</v>
      </c>
      <c r="BD633" s="31">
        <f>H633/(100-BE633)*100</f>
        <v>0</v>
      </c>
      <c r="BE633" s="31">
        <v>0</v>
      </c>
      <c r="BF633" s="31">
        <f>O633</f>
        <v>0</v>
      </c>
      <c r="BH633" s="31">
        <f>G633*AO633</f>
        <v>0</v>
      </c>
      <c r="BI633" s="31">
        <f>G633*AP633</f>
        <v>0</v>
      </c>
      <c r="BJ633" s="31">
        <f>G633*H633</f>
        <v>0</v>
      </c>
      <c r="BK633" s="31"/>
      <c r="BL633" s="31"/>
      <c r="BW633" s="31" t="str">
        <f>I633</f>
        <v>21</v>
      </c>
      <c r="BX633" s="4" t="s">
        <v>1329</v>
      </c>
    </row>
    <row r="634" spans="1:76" ht="14.35" x14ac:dyDescent="0.5">
      <c r="A634" s="42" t="s">
        <v>1330</v>
      </c>
      <c r="B634" s="43" t="s">
        <v>49</v>
      </c>
      <c r="C634" s="43" t="s">
        <v>1331</v>
      </c>
      <c r="D634" s="124" t="s">
        <v>1391</v>
      </c>
      <c r="E634" s="109"/>
      <c r="F634" s="43" t="s">
        <v>290</v>
      </c>
      <c r="G634" s="44">
        <v>0.32</v>
      </c>
      <c r="H634" s="44">
        <v>-145003.72</v>
      </c>
      <c r="I634" s="45" t="s">
        <v>56</v>
      </c>
      <c r="J634" s="44">
        <f>G634*AO634</f>
        <v>0</v>
      </c>
      <c r="K634" s="44">
        <f>G634*AP634</f>
        <v>-46401.190399999999</v>
      </c>
      <c r="L634" s="44">
        <f>G634*H634</f>
        <v>-46401.190399999999</v>
      </c>
      <c r="M634" s="44">
        <f>L634*(1+BW634/100)</f>
        <v>-56145.440384000001</v>
      </c>
      <c r="N634" s="44">
        <v>0</v>
      </c>
      <c r="O634" s="44">
        <f>G634*N634</f>
        <v>0</v>
      </c>
      <c r="P634" s="46" t="s">
        <v>57</v>
      </c>
      <c r="Z634" s="31">
        <f>IF(AQ634="5",BJ634,0)</f>
        <v>-46401.190399999999</v>
      </c>
      <c r="AB634" s="31">
        <f>IF(AQ634="1",BH634,0)</f>
        <v>0</v>
      </c>
      <c r="AC634" s="31">
        <f>IF(AQ634="1",BI634,0)</f>
        <v>0</v>
      </c>
      <c r="AD634" s="31">
        <f>IF(AQ634="7",BH634,0)</f>
        <v>0</v>
      </c>
      <c r="AE634" s="31">
        <f>IF(AQ634="7",BI634,0)</f>
        <v>0</v>
      </c>
      <c r="AF634" s="31">
        <f>IF(AQ634="2",BH634,0)</f>
        <v>0</v>
      </c>
      <c r="AG634" s="31">
        <f>IF(AQ634="2",BI634,0)</f>
        <v>0</v>
      </c>
      <c r="AH634" s="31">
        <f>IF(AQ634="0",BJ634,0)</f>
        <v>0</v>
      </c>
      <c r="AI634" s="12" t="s">
        <v>49</v>
      </c>
      <c r="AJ634" s="31">
        <f>IF(AN634=0,L634,0)</f>
        <v>0</v>
      </c>
      <c r="AK634" s="31">
        <f>IF(AN634=12,L634,0)</f>
        <v>0</v>
      </c>
      <c r="AL634" s="31">
        <f>IF(AN634=21,L634,0)</f>
        <v>-46401.190399999999</v>
      </c>
      <c r="AN634" s="31">
        <v>21</v>
      </c>
      <c r="AO634" s="31">
        <f>H634*0</f>
        <v>0</v>
      </c>
      <c r="AP634" s="31">
        <f>H634*(1-0)</f>
        <v>-145003.72</v>
      </c>
      <c r="AQ634" s="32" t="s">
        <v>81</v>
      </c>
      <c r="AV634" s="31">
        <f>AW634+AX634</f>
        <v>-46401.190399999999</v>
      </c>
      <c r="AW634" s="31">
        <f>G634*AO634</f>
        <v>0</v>
      </c>
      <c r="AX634" s="31">
        <f>G634*AP634</f>
        <v>-46401.190399999999</v>
      </c>
      <c r="AY634" s="32" t="s">
        <v>1293</v>
      </c>
      <c r="AZ634" s="32" t="s">
        <v>1003</v>
      </c>
      <c r="BA634" s="12" t="s">
        <v>60</v>
      </c>
      <c r="BC634" s="31">
        <f>AW634+AX634</f>
        <v>-46401.190399999999</v>
      </c>
      <c r="BD634" s="31">
        <f>H634/(100-BE634)*100</f>
        <v>-145003.72</v>
      </c>
      <c r="BE634" s="31">
        <v>0</v>
      </c>
      <c r="BF634" s="31">
        <f>O634</f>
        <v>0</v>
      </c>
      <c r="BH634" s="31">
        <f>G634*AO634</f>
        <v>0</v>
      </c>
      <c r="BI634" s="31">
        <f>G634*AP634</f>
        <v>-46401.190399999999</v>
      </c>
      <c r="BJ634" s="31">
        <f>G634*H634</f>
        <v>-46401.190399999999</v>
      </c>
      <c r="BK634" s="31"/>
      <c r="BL634" s="31"/>
      <c r="BW634" s="31" t="str">
        <f>I634</f>
        <v>21</v>
      </c>
      <c r="BX634" s="4" t="s">
        <v>1332</v>
      </c>
    </row>
    <row r="635" spans="1:76" ht="14.35" x14ac:dyDescent="0.5">
      <c r="J635" s="125" t="s">
        <v>1333</v>
      </c>
      <c r="K635" s="125"/>
      <c r="L635" s="47">
        <f>L12+L20+L32+L39+L44+L47+L56+L59+L67+L96+L99+L104+L123+L126+L130+L133+L155+L167+L178+L183+L192+L386+L413+L430+L439+L449+L471+L481+L484+L498+L506+L533+L565+L567+L602+L616</f>
        <v>-46401.190399999999</v>
      </c>
      <c r="M635" s="47">
        <f>M12+M20+M32+M39+M44+M47+M56+M59+M67+M96+M99+M104+M123+M126+M130+M133+M155+M167+M178+M183+M192+M386+M413+M430+M439+M449+M471+M481+M484+M498+M506+M533+M565+M567+M602+M616</f>
        <v>-56145.440384000001</v>
      </c>
    </row>
    <row r="636" spans="1:76" ht="14.35" x14ac:dyDescent="0.5">
      <c r="A636" s="48" t="s">
        <v>1334</v>
      </c>
    </row>
    <row r="637" spans="1:76" ht="12.75" customHeight="1" x14ac:dyDescent="0.5">
      <c r="A637" s="72" t="s">
        <v>49</v>
      </c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</row>
  </sheetData>
  <mergeCells count="315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5:E15"/>
    <mergeCell ref="D18:E18"/>
    <mergeCell ref="D20:E20"/>
    <mergeCell ref="D21:E21"/>
    <mergeCell ref="D22:E22"/>
    <mergeCell ref="D11:E11"/>
    <mergeCell ref="J10:L10"/>
    <mergeCell ref="N10:O10"/>
    <mergeCell ref="D12:E12"/>
    <mergeCell ref="D13:E13"/>
    <mergeCell ref="D33:E33"/>
    <mergeCell ref="D35:E35"/>
    <mergeCell ref="D39:E39"/>
    <mergeCell ref="D40:E40"/>
    <mergeCell ref="D42:E42"/>
    <mergeCell ref="D23:E23"/>
    <mergeCell ref="D26:E26"/>
    <mergeCell ref="D28:E28"/>
    <mergeCell ref="D30:E30"/>
    <mergeCell ref="D32:E32"/>
    <mergeCell ref="D50:E50"/>
    <mergeCell ref="D51:E51"/>
    <mergeCell ref="D52:E52"/>
    <mergeCell ref="D53:E53"/>
    <mergeCell ref="D55:E55"/>
    <mergeCell ref="D43:E43"/>
    <mergeCell ref="D44:E44"/>
    <mergeCell ref="D45:E45"/>
    <mergeCell ref="D47:E47"/>
    <mergeCell ref="D48:E48"/>
    <mergeCell ref="D63:E63"/>
    <mergeCell ref="D65:E65"/>
    <mergeCell ref="D67:E67"/>
    <mergeCell ref="D68:E68"/>
    <mergeCell ref="D72:E72"/>
    <mergeCell ref="D56:E56"/>
    <mergeCell ref="D57:E57"/>
    <mergeCell ref="D59:E59"/>
    <mergeCell ref="D60:E60"/>
    <mergeCell ref="D62:E62"/>
    <mergeCell ref="D86:E86"/>
    <mergeCell ref="D88:E88"/>
    <mergeCell ref="D90:E90"/>
    <mergeCell ref="D92:E92"/>
    <mergeCell ref="D94:E94"/>
    <mergeCell ref="D74:E74"/>
    <mergeCell ref="D79:E79"/>
    <mergeCell ref="D81:E81"/>
    <mergeCell ref="D83:E83"/>
    <mergeCell ref="D85:E85"/>
    <mergeCell ref="D104:E104"/>
    <mergeCell ref="D105:E105"/>
    <mergeCell ref="D108:E108"/>
    <mergeCell ref="D110:E110"/>
    <mergeCell ref="D112:E112"/>
    <mergeCell ref="D96:E96"/>
    <mergeCell ref="D97:E97"/>
    <mergeCell ref="D99:E99"/>
    <mergeCell ref="D100:E100"/>
    <mergeCell ref="D102:E102"/>
    <mergeCell ref="D123:E123"/>
    <mergeCell ref="D124:E124"/>
    <mergeCell ref="D126:E126"/>
    <mergeCell ref="D127:E127"/>
    <mergeCell ref="D129:E129"/>
    <mergeCell ref="D115:E115"/>
    <mergeCell ref="D119:E119"/>
    <mergeCell ref="D120:E120"/>
    <mergeCell ref="D121:E121"/>
    <mergeCell ref="D122:E122"/>
    <mergeCell ref="D142:E142"/>
    <mergeCell ref="D145:E145"/>
    <mergeCell ref="D147:E147"/>
    <mergeCell ref="D149:E149"/>
    <mergeCell ref="D151:E151"/>
    <mergeCell ref="D130:E130"/>
    <mergeCell ref="D131:E131"/>
    <mergeCell ref="D133:E133"/>
    <mergeCell ref="D134:E134"/>
    <mergeCell ref="D138:E138"/>
    <mergeCell ref="D165:E165"/>
    <mergeCell ref="D167:E167"/>
    <mergeCell ref="D168:E168"/>
    <mergeCell ref="D172:E172"/>
    <mergeCell ref="D174:E174"/>
    <mergeCell ref="D155:E155"/>
    <mergeCell ref="D156:E156"/>
    <mergeCell ref="D159:E159"/>
    <mergeCell ref="D161:E161"/>
    <mergeCell ref="D163:E163"/>
    <mergeCell ref="D184:E184"/>
    <mergeCell ref="D188:E188"/>
    <mergeCell ref="D191:E191"/>
    <mergeCell ref="D192:E192"/>
    <mergeCell ref="D193:E193"/>
    <mergeCell ref="D176:E176"/>
    <mergeCell ref="D178:E178"/>
    <mergeCell ref="D179:E179"/>
    <mergeCell ref="D181:E181"/>
    <mergeCell ref="D183:E183"/>
    <mergeCell ref="D209:E209"/>
    <mergeCell ref="D211:E211"/>
    <mergeCell ref="D212:E212"/>
    <mergeCell ref="D216:E216"/>
    <mergeCell ref="D219:E219"/>
    <mergeCell ref="D200:E200"/>
    <mergeCell ref="D202:E202"/>
    <mergeCell ref="D204:E204"/>
    <mergeCell ref="D205:E205"/>
    <mergeCell ref="D207:E207"/>
    <mergeCell ref="D242:E242"/>
    <mergeCell ref="D243:E243"/>
    <mergeCell ref="D246:E246"/>
    <mergeCell ref="D249:E249"/>
    <mergeCell ref="D252:E252"/>
    <mergeCell ref="D222:E222"/>
    <mergeCell ref="D225:E225"/>
    <mergeCell ref="D232:E232"/>
    <mergeCell ref="D238:E238"/>
    <mergeCell ref="D241:E241"/>
    <mergeCell ref="D273:E273"/>
    <mergeCell ref="D275:E275"/>
    <mergeCell ref="D278:E278"/>
    <mergeCell ref="D281:E281"/>
    <mergeCell ref="D284:E284"/>
    <mergeCell ref="D254:E254"/>
    <mergeCell ref="D263:E263"/>
    <mergeCell ref="D265:E265"/>
    <mergeCell ref="D268:E268"/>
    <mergeCell ref="D271:E271"/>
    <mergeCell ref="D301:E301"/>
    <mergeCell ref="D303:E303"/>
    <mergeCell ref="D305:E305"/>
    <mergeCell ref="D308:E308"/>
    <mergeCell ref="D311:E311"/>
    <mergeCell ref="D287:E287"/>
    <mergeCell ref="D290:E290"/>
    <mergeCell ref="D293:E293"/>
    <mergeCell ref="D295:E295"/>
    <mergeCell ref="D298:E298"/>
    <mergeCell ref="D323:E323"/>
    <mergeCell ref="D335:E335"/>
    <mergeCell ref="D337:E337"/>
    <mergeCell ref="D340:E340"/>
    <mergeCell ref="D341:E341"/>
    <mergeCell ref="D312:E312"/>
    <mergeCell ref="D317:E317"/>
    <mergeCell ref="D320:E320"/>
    <mergeCell ref="D321:E321"/>
    <mergeCell ref="D322:E322"/>
    <mergeCell ref="D364:E364"/>
    <mergeCell ref="D370:E370"/>
    <mergeCell ref="D372:E372"/>
    <mergeCell ref="D377:E377"/>
    <mergeCell ref="D380:E380"/>
    <mergeCell ref="D343:E343"/>
    <mergeCell ref="D345:E345"/>
    <mergeCell ref="D348:E348"/>
    <mergeCell ref="D355:E355"/>
    <mergeCell ref="D362:E362"/>
    <mergeCell ref="D395:E395"/>
    <mergeCell ref="D396:E396"/>
    <mergeCell ref="D398:E398"/>
    <mergeCell ref="D400:E400"/>
    <mergeCell ref="D401:E401"/>
    <mergeCell ref="D381:E381"/>
    <mergeCell ref="D385:E385"/>
    <mergeCell ref="D386:E386"/>
    <mergeCell ref="D387:E387"/>
    <mergeCell ref="D389:E389"/>
    <mergeCell ref="D408:E408"/>
    <mergeCell ref="D409:E409"/>
    <mergeCell ref="D411:E411"/>
    <mergeCell ref="D412:E412"/>
    <mergeCell ref="D413:E413"/>
    <mergeCell ref="D402:E402"/>
    <mergeCell ref="D403:E403"/>
    <mergeCell ref="D404:E404"/>
    <mergeCell ref="D406:E406"/>
    <mergeCell ref="D407:E407"/>
    <mergeCell ref="D427:E427"/>
    <mergeCell ref="D428:E428"/>
    <mergeCell ref="D429:E429"/>
    <mergeCell ref="D430:E430"/>
    <mergeCell ref="D431:E431"/>
    <mergeCell ref="D414:E414"/>
    <mergeCell ref="D419:E419"/>
    <mergeCell ref="D421:E421"/>
    <mergeCell ref="D423:E423"/>
    <mergeCell ref="D425:E425"/>
    <mergeCell ref="D443:E443"/>
    <mergeCell ref="D445:E445"/>
    <mergeCell ref="D448:E448"/>
    <mergeCell ref="D449:E449"/>
    <mergeCell ref="D450:E450"/>
    <mergeCell ref="D433:E433"/>
    <mergeCell ref="D435:E435"/>
    <mergeCell ref="D436:E436"/>
    <mergeCell ref="D439:E439"/>
    <mergeCell ref="D440:E440"/>
    <mergeCell ref="D484:E484"/>
    <mergeCell ref="D485:E485"/>
    <mergeCell ref="D487:E487"/>
    <mergeCell ref="D488:E488"/>
    <mergeCell ref="D489:E489"/>
    <mergeCell ref="D471:E471"/>
    <mergeCell ref="D472:E472"/>
    <mergeCell ref="D477:E477"/>
    <mergeCell ref="D481:E481"/>
    <mergeCell ref="D482:E482"/>
    <mergeCell ref="D499:E499"/>
    <mergeCell ref="D501:E501"/>
    <mergeCell ref="D504:E504"/>
    <mergeCell ref="D506:E506"/>
    <mergeCell ref="D507:E507"/>
    <mergeCell ref="D492:E492"/>
    <mergeCell ref="D494:E494"/>
    <mergeCell ref="D495:E495"/>
    <mergeCell ref="D497:E497"/>
    <mergeCell ref="D498:E498"/>
    <mergeCell ref="D525:E525"/>
    <mergeCell ref="D526:E526"/>
    <mergeCell ref="D527:E527"/>
    <mergeCell ref="D529:E529"/>
    <mergeCell ref="D531:E531"/>
    <mergeCell ref="D515:E515"/>
    <mergeCell ref="D517:E517"/>
    <mergeCell ref="D519:E519"/>
    <mergeCell ref="D521:E521"/>
    <mergeCell ref="D523:E523"/>
    <mergeCell ref="D542:E542"/>
    <mergeCell ref="D544:E544"/>
    <mergeCell ref="D547:E547"/>
    <mergeCell ref="D549:E549"/>
    <mergeCell ref="D551:E551"/>
    <mergeCell ref="D533:E533"/>
    <mergeCell ref="D534:E534"/>
    <mergeCell ref="D536:E536"/>
    <mergeCell ref="D538:E538"/>
    <mergeCell ref="D540:E540"/>
    <mergeCell ref="D564:E564"/>
    <mergeCell ref="D565:E565"/>
    <mergeCell ref="D566:E566"/>
    <mergeCell ref="D567:E567"/>
    <mergeCell ref="D568:E568"/>
    <mergeCell ref="D554:E554"/>
    <mergeCell ref="D556:E556"/>
    <mergeCell ref="D558:E558"/>
    <mergeCell ref="D560:E560"/>
    <mergeCell ref="D562:E562"/>
    <mergeCell ref="D580:E580"/>
    <mergeCell ref="D582:E582"/>
    <mergeCell ref="D584:E584"/>
    <mergeCell ref="D586:E586"/>
    <mergeCell ref="D587:E587"/>
    <mergeCell ref="D570:E570"/>
    <mergeCell ref="D573:E573"/>
    <mergeCell ref="D574:E574"/>
    <mergeCell ref="D576:E576"/>
    <mergeCell ref="D578:E578"/>
    <mergeCell ref="D597:E597"/>
    <mergeCell ref="D598:E598"/>
    <mergeCell ref="D600:E600"/>
    <mergeCell ref="D602:E602"/>
    <mergeCell ref="D603:E603"/>
    <mergeCell ref="D589:E589"/>
    <mergeCell ref="D590:E590"/>
    <mergeCell ref="D591:E591"/>
    <mergeCell ref="D593:E593"/>
    <mergeCell ref="D595:E595"/>
    <mergeCell ref="D613:E613"/>
    <mergeCell ref="D614:E614"/>
    <mergeCell ref="D615:E615"/>
    <mergeCell ref="D616:E616"/>
    <mergeCell ref="D617:E617"/>
    <mergeCell ref="D605:E605"/>
    <mergeCell ref="D607:E607"/>
    <mergeCell ref="D609:E609"/>
    <mergeCell ref="D610:E610"/>
    <mergeCell ref="D612:E612"/>
    <mergeCell ref="D633:E633"/>
    <mergeCell ref="D634:E634"/>
    <mergeCell ref="J635:K635"/>
    <mergeCell ref="A637:P637"/>
    <mergeCell ref="D618:E618"/>
    <mergeCell ref="D625:E625"/>
    <mergeCell ref="D627:E627"/>
    <mergeCell ref="D629:E629"/>
    <mergeCell ref="D631:E631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7" workbookViewId="0">
      <selection activeCell="A36" sqref="A36:E36"/>
    </sheetView>
  </sheetViews>
  <sheetFormatPr defaultColWidth="12.1171875" defaultRowHeight="15" customHeight="1" x14ac:dyDescent="0.5"/>
  <cols>
    <col min="1" max="1" width="9.1171875" customWidth="1"/>
    <col min="2" max="2" width="12.87890625" customWidth="1"/>
    <col min="3" max="3" width="22.87890625" customWidth="1"/>
    <col min="4" max="4" width="10" customWidth="1"/>
    <col min="5" max="5" width="14" customWidth="1"/>
    <col min="6" max="6" width="22.87890625" customWidth="1"/>
    <col min="7" max="7" width="9.1171875" customWidth="1"/>
    <col min="8" max="8" width="17.1171875" customWidth="1"/>
    <col min="9" max="9" width="22.87890625" customWidth="1"/>
  </cols>
  <sheetData>
    <row r="1" spans="1:9" ht="54.75" customHeight="1" x14ac:dyDescent="0.5">
      <c r="A1" s="116" t="s">
        <v>1379</v>
      </c>
      <c r="B1" s="117"/>
      <c r="C1" s="117"/>
      <c r="D1" s="117"/>
      <c r="E1" s="117"/>
      <c r="F1" s="117"/>
      <c r="G1" s="117"/>
      <c r="H1" s="117"/>
      <c r="I1" s="117"/>
    </row>
    <row r="2" spans="1:9" ht="14.35" x14ac:dyDescent="0.5">
      <c r="A2" s="118" t="s">
        <v>0</v>
      </c>
      <c r="B2" s="119"/>
      <c r="C2" s="113" t="str">
        <f>'Stavební rozpočet'!D2</f>
        <v>Rekonstrukce střechy a stropu a stat zajištění schodiště Panského domu</v>
      </c>
      <c r="D2" s="114"/>
      <c r="E2" s="110" t="s">
        <v>4</v>
      </c>
      <c r="F2" s="110" t="str">
        <f>'Stavební rozpočet'!J2</f>
        <v> </v>
      </c>
      <c r="G2" s="119"/>
      <c r="H2" s="110" t="s">
        <v>1336</v>
      </c>
      <c r="I2" s="121" t="s">
        <v>49</v>
      </c>
    </row>
    <row r="3" spans="1:9" ht="25.5" customHeight="1" x14ac:dyDescent="0.5">
      <c r="A3" s="120"/>
      <c r="B3" s="73"/>
      <c r="C3" s="115"/>
      <c r="D3" s="115"/>
      <c r="E3" s="73"/>
      <c r="F3" s="73"/>
      <c r="G3" s="73"/>
      <c r="H3" s="73"/>
      <c r="I3" s="122"/>
    </row>
    <row r="4" spans="1:9" ht="14.35" x14ac:dyDescent="0.5">
      <c r="A4" s="111" t="s">
        <v>6</v>
      </c>
      <c r="B4" s="73"/>
      <c r="C4" s="72" t="str">
        <f>'Stavební rozpočet'!D4</f>
        <v xml:space="preserve"> </v>
      </c>
      <c r="D4" s="73"/>
      <c r="E4" s="72" t="s">
        <v>8</v>
      </c>
      <c r="F4" s="72" t="str">
        <f>'Stavební rozpočet'!J4</f>
        <v> </v>
      </c>
      <c r="G4" s="73"/>
      <c r="H4" s="72" t="s">
        <v>1336</v>
      </c>
      <c r="I4" s="122" t="s">
        <v>49</v>
      </c>
    </row>
    <row r="5" spans="1:9" ht="15" customHeight="1" x14ac:dyDescent="0.5">
      <c r="A5" s="120"/>
      <c r="B5" s="73"/>
      <c r="C5" s="73"/>
      <c r="D5" s="73"/>
      <c r="E5" s="73"/>
      <c r="F5" s="73"/>
      <c r="G5" s="73"/>
      <c r="H5" s="73"/>
      <c r="I5" s="122"/>
    </row>
    <row r="6" spans="1:9" ht="14.35" x14ac:dyDescent="0.5">
      <c r="A6" s="111" t="s">
        <v>9</v>
      </c>
      <c r="B6" s="73"/>
      <c r="C6" s="72" t="str">
        <f>'Stavební rozpočet'!D6</f>
        <v xml:space="preserve"> </v>
      </c>
      <c r="D6" s="73"/>
      <c r="E6" s="72" t="s">
        <v>11</v>
      </c>
      <c r="F6" s="72" t="str">
        <f>'Stavební rozpočet'!J6</f>
        <v> </v>
      </c>
      <c r="G6" s="73"/>
      <c r="H6" s="72" t="s">
        <v>1336</v>
      </c>
      <c r="I6" s="122" t="s">
        <v>49</v>
      </c>
    </row>
    <row r="7" spans="1:9" ht="15" customHeight="1" x14ac:dyDescent="0.5">
      <c r="A7" s="120"/>
      <c r="B7" s="73"/>
      <c r="C7" s="73"/>
      <c r="D7" s="73"/>
      <c r="E7" s="73"/>
      <c r="F7" s="73"/>
      <c r="G7" s="73"/>
      <c r="H7" s="73"/>
      <c r="I7" s="122"/>
    </row>
    <row r="8" spans="1:9" ht="14.35" x14ac:dyDescent="0.5">
      <c r="A8" s="111" t="s">
        <v>7</v>
      </c>
      <c r="B8" s="73"/>
      <c r="C8" s="72">
        <f>'Stavební rozpočet'!H4</f>
        <v>0</v>
      </c>
      <c r="D8" s="73"/>
      <c r="E8" s="72" t="s">
        <v>10</v>
      </c>
      <c r="F8" s="72" t="str">
        <f>'Stavební rozpočet'!H6</f>
        <v xml:space="preserve"> </v>
      </c>
      <c r="G8" s="73"/>
      <c r="H8" s="73" t="s">
        <v>1337</v>
      </c>
      <c r="I8" s="123">
        <v>248</v>
      </c>
    </row>
    <row r="9" spans="1:9" ht="14.35" x14ac:dyDescent="0.5">
      <c r="A9" s="120"/>
      <c r="B9" s="73"/>
      <c r="C9" s="73"/>
      <c r="D9" s="73"/>
      <c r="E9" s="73"/>
      <c r="F9" s="73"/>
      <c r="G9" s="73"/>
      <c r="H9" s="73"/>
      <c r="I9" s="122"/>
    </row>
    <row r="10" spans="1:9" ht="14.35" x14ac:dyDescent="0.5">
      <c r="A10" s="111" t="s">
        <v>12</v>
      </c>
      <c r="B10" s="73"/>
      <c r="C10" s="72" t="str">
        <f>'Stavební rozpočet'!D8</f>
        <v xml:space="preserve"> </v>
      </c>
      <c r="D10" s="73"/>
      <c r="E10" s="72" t="s">
        <v>14</v>
      </c>
      <c r="F10" s="72">
        <f>'Stavební rozpočet'!J8</f>
        <v>0</v>
      </c>
      <c r="G10" s="73"/>
      <c r="H10" s="73" t="s">
        <v>1338</v>
      </c>
      <c r="I10" s="104">
        <f>'Stavební rozpočet'!H8</f>
        <v>0</v>
      </c>
    </row>
    <row r="11" spans="1:9" ht="14.35" x14ac:dyDescent="0.5">
      <c r="A11" s="112"/>
      <c r="B11" s="109"/>
      <c r="C11" s="109"/>
      <c r="D11" s="109"/>
      <c r="E11" s="109"/>
      <c r="F11" s="109"/>
      <c r="G11" s="109"/>
      <c r="H11" s="109"/>
      <c r="I11" s="105"/>
    </row>
    <row r="13" spans="1:9" ht="15.35" x14ac:dyDescent="0.5">
      <c r="A13" s="155" t="s">
        <v>1380</v>
      </c>
      <c r="B13" s="155"/>
      <c r="C13" s="155"/>
      <c r="D13" s="155"/>
      <c r="E13" s="155"/>
    </row>
    <row r="14" spans="1:9" ht="14.35" x14ac:dyDescent="0.5">
      <c r="A14" s="156" t="s">
        <v>1381</v>
      </c>
      <c r="B14" s="157"/>
      <c r="C14" s="157"/>
      <c r="D14" s="157"/>
      <c r="E14" s="158"/>
      <c r="F14" s="63" t="s">
        <v>1382</v>
      </c>
      <c r="G14" s="63" t="s">
        <v>1383</v>
      </c>
      <c r="H14" s="63" t="s">
        <v>1384</v>
      </c>
      <c r="I14" s="63" t="s">
        <v>1382</v>
      </c>
    </row>
    <row r="15" spans="1:9" ht="14.35" x14ac:dyDescent="0.5">
      <c r="A15" s="162" t="s">
        <v>1348</v>
      </c>
      <c r="B15" s="163"/>
      <c r="C15" s="163"/>
      <c r="D15" s="163"/>
      <c r="E15" s="164"/>
      <c r="F15" s="64">
        <v>0</v>
      </c>
      <c r="G15" s="65" t="s">
        <v>49</v>
      </c>
      <c r="H15" s="65" t="s">
        <v>49</v>
      </c>
      <c r="I15" s="64">
        <f>F15</f>
        <v>0</v>
      </c>
    </row>
    <row r="16" spans="1:9" ht="14.35" x14ac:dyDescent="0.5">
      <c r="A16" s="162" t="s">
        <v>1350</v>
      </c>
      <c r="B16" s="163"/>
      <c r="C16" s="163"/>
      <c r="D16" s="163"/>
      <c r="E16" s="164"/>
      <c r="F16" s="64">
        <v>0</v>
      </c>
      <c r="G16" s="65" t="s">
        <v>49</v>
      </c>
      <c r="H16" s="65" t="s">
        <v>49</v>
      </c>
      <c r="I16" s="64">
        <f>F16</f>
        <v>0</v>
      </c>
    </row>
    <row r="17" spans="1:9" ht="14.35" x14ac:dyDescent="0.5">
      <c r="A17" s="159" t="s">
        <v>1353</v>
      </c>
      <c r="B17" s="160"/>
      <c r="C17" s="160"/>
      <c r="D17" s="160"/>
      <c r="E17" s="161"/>
      <c r="F17" s="66" t="s">
        <v>49</v>
      </c>
      <c r="G17" s="67">
        <v>4</v>
      </c>
      <c r="H17" s="67">
        <f>'Krycí list rozpočtu'!C22</f>
        <v>-46401.190399999999</v>
      </c>
      <c r="I17" s="67">
        <f>ROUND((G17/100)*H17,2)</f>
        <v>-1856.05</v>
      </c>
    </row>
    <row r="18" spans="1:9" ht="14.35" x14ac:dyDescent="0.5">
      <c r="A18" s="146" t="s">
        <v>1385</v>
      </c>
      <c r="B18" s="147"/>
      <c r="C18" s="147"/>
      <c r="D18" s="147"/>
      <c r="E18" s="148"/>
      <c r="F18" s="68" t="s">
        <v>49</v>
      </c>
      <c r="G18" s="69" t="s">
        <v>49</v>
      </c>
      <c r="H18" s="69" t="s">
        <v>49</v>
      </c>
      <c r="I18" s="70">
        <f>SUM(I15:I17)</f>
        <v>-1856.05</v>
      </c>
    </row>
    <row r="20" spans="1:9" ht="14.35" x14ac:dyDescent="0.5">
      <c r="A20" s="156" t="s">
        <v>1345</v>
      </c>
      <c r="B20" s="157"/>
      <c r="C20" s="157"/>
      <c r="D20" s="157"/>
      <c r="E20" s="158"/>
      <c r="F20" s="63" t="s">
        <v>1382</v>
      </c>
      <c r="G20" s="63" t="s">
        <v>1383</v>
      </c>
      <c r="H20" s="63" t="s">
        <v>1384</v>
      </c>
      <c r="I20" s="63" t="s">
        <v>1382</v>
      </c>
    </row>
    <row r="21" spans="1:9" ht="14.35" x14ac:dyDescent="0.5">
      <c r="A21" s="162" t="s">
        <v>1349</v>
      </c>
      <c r="B21" s="163"/>
      <c r="C21" s="163"/>
      <c r="D21" s="163"/>
      <c r="E21" s="164"/>
      <c r="F21" s="65" t="s">
        <v>49</v>
      </c>
      <c r="G21" s="64">
        <v>5</v>
      </c>
      <c r="H21" s="64">
        <f>'Krycí list rozpočtu'!C22</f>
        <v>-46401.190399999999</v>
      </c>
      <c r="I21" s="64">
        <f>ROUND((G21/100)*H21,2)</f>
        <v>-2320.06</v>
      </c>
    </row>
    <row r="22" spans="1:9" ht="14.35" x14ac:dyDescent="0.5">
      <c r="A22" s="162" t="s">
        <v>1351</v>
      </c>
      <c r="B22" s="163"/>
      <c r="C22" s="163"/>
      <c r="D22" s="163"/>
      <c r="E22" s="164"/>
      <c r="F22" s="64">
        <v>0</v>
      </c>
      <c r="G22" s="65" t="s">
        <v>49</v>
      </c>
      <c r="H22" s="65" t="s">
        <v>49</v>
      </c>
      <c r="I22" s="64">
        <f>F22</f>
        <v>0</v>
      </c>
    </row>
    <row r="23" spans="1:9" ht="14.35" x14ac:dyDescent="0.5">
      <c r="A23" s="162" t="s">
        <v>1354</v>
      </c>
      <c r="B23" s="163"/>
      <c r="C23" s="163"/>
      <c r="D23" s="163"/>
      <c r="E23" s="164"/>
      <c r="F23" s="64">
        <v>0</v>
      </c>
      <c r="G23" s="65" t="s">
        <v>49</v>
      </c>
      <c r="H23" s="65" t="s">
        <v>49</v>
      </c>
      <c r="I23" s="64">
        <f>F23</f>
        <v>0</v>
      </c>
    </row>
    <row r="24" spans="1:9" ht="14.35" x14ac:dyDescent="0.5">
      <c r="A24" s="162" t="s">
        <v>1355</v>
      </c>
      <c r="B24" s="163"/>
      <c r="C24" s="163"/>
      <c r="D24" s="163"/>
      <c r="E24" s="164"/>
      <c r="F24" s="64">
        <v>0</v>
      </c>
      <c r="G24" s="65" t="s">
        <v>49</v>
      </c>
      <c r="H24" s="65" t="s">
        <v>49</v>
      </c>
      <c r="I24" s="64">
        <f>F24</f>
        <v>0</v>
      </c>
    </row>
    <row r="25" spans="1:9" ht="14.35" x14ac:dyDescent="0.5">
      <c r="A25" s="162" t="s">
        <v>1357</v>
      </c>
      <c r="B25" s="163"/>
      <c r="C25" s="163"/>
      <c r="D25" s="163"/>
      <c r="E25" s="164"/>
      <c r="F25" s="64">
        <v>0</v>
      </c>
      <c r="G25" s="65" t="s">
        <v>49</v>
      </c>
      <c r="H25" s="65" t="s">
        <v>49</v>
      </c>
      <c r="I25" s="64">
        <f>F25</f>
        <v>0</v>
      </c>
    </row>
    <row r="26" spans="1:9" ht="14.35" x14ac:dyDescent="0.5">
      <c r="A26" s="159" t="s">
        <v>1358</v>
      </c>
      <c r="B26" s="160"/>
      <c r="C26" s="160"/>
      <c r="D26" s="160"/>
      <c r="E26" s="161"/>
      <c r="F26" s="67">
        <v>0</v>
      </c>
      <c r="G26" s="66" t="s">
        <v>49</v>
      </c>
      <c r="H26" s="66" t="s">
        <v>49</v>
      </c>
      <c r="I26" s="67">
        <f>F26</f>
        <v>0</v>
      </c>
    </row>
    <row r="27" spans="1:9" ht="14.35" x14ac:dyDescent="0.5">
      <c r="A27" s="146" t="s">
        <v>1386</v>
      </c>
      <c r="B27" s="147"/>
      <c r="C27" s="147"/>
      <c r="D27" s="147"/>
      <c r="E27" s="148"/>
      <c r="F27" s="68" t="s">
        <v>49</v>
      </c>
      <c r="G27" s="69" t="s">
        <v>49</v>
      </c>
      <c r="H27" s="69" t="s">
        <v>49</v>
      </c>
      <c r="I27" s="70">
        <f>SUM(I21:I26)</f>
        <v>-2320.06</v>
      </c>
    </row>
    <row r="29" spans="1:9" ht="15.35" x14ac:dyDescent="0.5">
      <c r="A29" s="149" t="s">
        <v>1387</v>
      </c>
      <c r="B29" s="150"/>
      <c r="C29" s="150"/>
      <c r="D29" s="150"/>
      <c r="E29" s="151"/>
      <c r="F29" s="152">
        <f>I18+I27</f>
        <v>-4176.1099999999997</v>
      </c>
      <c r="G29" s="153"/>
      <c r="H29" s="153"/>
      <c r="I29" s="154"/>
    </row>
    <row r="33" spans="1:9" ht="15.35" x14ac:dyDescent="0.5">
      <c r="A33" s="155" t="s">
        <v>1388</v>
      </c>
      <c r="B33" s="155"/>
      <c r="C33" s="155"/>
      <c r="D33" s="155"/>
      <c r="E33" s="155"/>
    </row>
    <row r="34" spans="1:9" ht="14.35" x14ac:dyDescent="0.5">
      <c r="A34" s="156" t="s">
        <v>1389</v>
      </c>
      <c r="B34" s="157"/>
      <c r="C34" s="157"/>
      <c r="D34" s="157"/>
      <c r="E34" s="158"/>
      <c r="F34" s="63" t="s">
        <v>1382</v>
      </c>
      <c r="G34" s="63" t="s">
        <v>1383</v>
      </c>
      <c r="H34" s="63" t="s">
        <v>1384</v>
      </c>
      <c r="I34" s="63" t="s">
        <v>1382</v>
      </c>
    </row>
    <row r="35" spans="1:9" ht="14.35" x14ac:dyDescent="0.5">
      <c r="A35" s="159" t="s">
        <v>49</v>
      </c>
      <c r="B35" s="160"/>
      <c r="C35" s="160"/>
      <c r="D35" s="160"/>
      <c r="E35" s="161"/>
      <c r="F35" s="67">
        <v>0</v>
      </c>
      <c r="G35" s="66" t="s">
        <v>49</v>
      </c>
      <c r="H35" s="66" t="s">
        <v>49</v>
      </c>
      <c r="I35" s="67">
        <f>F35</f>
        <v>0</v>
      </c>
    </row>
    <row r="36" spans="1:9" ht="14.35" x14ac:dyDescent="0.5">
      <c r="A36" s="146" t="s">
        <v>1390</v>
      </c>
      <c r="B36" s="147"/>
      <c r="C36" s="147"/>
      <c r="D36" s="147"/>
      <c r="E36" s="148"/>
      <c r="F36" s="68" t="s">
        <v>49</v>
      </c>
      <c r="G36" s="69" t="s">
        <v>49</v>
      </c>
      <c r="H36" s="69" t="s">
        <v>49</v>
      </c>
      <c r="I36" s="70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Stavební rozpočet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Tomáš Správka</cp:lastModifiedBy>
  <dcterms:created xsi:type="dcterms:W3CDTF">2021-06-10T20:06:38Z</dcterms:created>
  <dcterms:modified xsi:type="dcterms:W3CDTF">2024-07-04T07:32:35Z</dcterms:modified>
</cp:coreProperties>
</file>